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ml.chartshapes+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9.xml" ContentType="application/vnd.openxmlformats-officedocument.drawingml.chart+xml"/>
  <Override PartName="/xl/drawings/drawing13.xml" ContentType="application/vnd.openxmlformats-officedocument.drawing+xml"/>
  <Override PartName="/xl/charts/chart10.xml" ContentType="application/vnd.openxmlformats-officedocument.drawingml.chart+xml"/>
  <Override PartName="/xl/drawings/drawing14.xml" ContentType="application/vnd.openxmlformats-officedocument.drawingml.chartshapes+xml"/>
  <Override PartName="/xl/charts/chart11.xml" ContentType="application/vnd.openxmlformats-officedocument.drawingml.chart+xml"/>
  <Override PartName="/xl/charts/chart12.xml" ContentType="application/vnd.openxmlformats-officedocument.drawingml.chart+xml"/>
  <Override PartName="/xl/drawings/drawing15.xml" ContentType="application/vnd.openxmlformats-officedocument.drawing+xml"/>
  <Override PartName="/xl/charts/chart13.xml" ContentType="application/vnd.openxmlformats-officedocument.drawingml.chart+xml"/>
  <Override PartName="/xl/drawings/drawing1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9120" yWindow="-15" windowWidth="9165" windowHeight="8460" tabRatio="874"/>
  </bookViews>
  <sheets>
    <sheet name="Sommaire" sheetId="33" r:id="rId1"/>
    <sheet name="Evol Cifre" sheetId="31" r:id="rId2"/>
    <sheet name="Domaine sc" sheetId="21" r:id="rId3"/>
    <sheet name="Domaine sc fem" sheetId="48" r:id="rId4"/>
    <sheet name="Cifre Employeur" sheetId="22" r:id="rId5"/>
    <sheet name="Employeur" sheetId="34" r:id="rId6"/>
    <sheet name="Secteur 19" sheetId="38" r:id="rId7"/>
    <sheet name="Secteur" sheetId="32" r:id="rId8"/>
    <sheet name="Origine geo 19" sheetId="40" r:id="rId9"/>
    <sheet name="Origine geo" sheetId="19" r:id="rId10"/>
    <sheet name="Diplômes" sheetId="43" r:id="rId11"/>
    <sheet name="Salaire" sheetId="44" r:id="rId12"/>
    <sheet name="soutenance" sheetId="35" r:id="rId13"/>
    <sheet name="publications" sheetId="47" r:id="rId14"/>
  </sheets>
  <definedNames>
    <definedName name="CIFRE_2014.accdb" localSheetId="2" hidden="1">'Domaine sc'!#REF!</definedName>
    <definedName name="CIFRE_2014.accdb" localSheetId="3" hidden="1">'Domaine sc fem'!#REF!</definedName>
    <definedName name="_xlnm.Print_Area" localSheetId="4">'Cifre Employeur'!$A$1:$R$45</definedName>
    <definedName name="_xlnm.Print_Area" localSheetId="10">Diplômes!$A$1:$L$27</definedName>
    <definedName name="_xlnm.Print_Area" localSheetId="2">'Domaine sc'!$A$1:$S$57</definedName>
    <definedName name="_xlnm.Print_Area" localSheetId="3">'Domaine sc fem'!$A$1:$P$61</definedName>
    <definedName name="_xlnm.Print_Area" localSheetId="5">Employeur!$A$1:$R$37</definedName>
    <definedName name="_xlnm.Print_Area" localSheetId="1">'Evol Cifre'!$A$1:$X$49</definedName>
    <definedName name="_xlnm.Print_Area" localSheetId="9">'Origine geo'!$A$1:$T$39</definedName>
    <definedName name="_xlnm.Print_Area" localSheetId="8">'Origine geo 19'!$A$1:$F$16</definedName>
    <definedName name="_xlnm.Print_Area" localSheetId="13">publications!$A$1:$H$41</definedName>
    <definedName name="_xlnm.Print_Area" localSheetId="11">Salaire!$A$1:$Z$46</definedName>
    <definedName name="_xlnm.Print_Area" localSheetId="7">Secteur!$A$1:$K$56</definedName>
    <definedName name="_xlnm.Print_Area" localSheetId="6">'Secteur 19'!$A$1:$C$17</definedName>
    <definedName name="_xlnm.Print_Area" localSheetId="0">Sommaire!$A$1:$G$34</definedName>
    <definedName name="_xlnm.Print_Area" localSheetId="12">soutenance!$A$1:$E$13</definedName>
  </definedNames>
  <calcPr calcId="145621"/>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21" i="34" l="1"/>
  <c r="I22" i="34"/>
  <c r="I23" i="34"/>
  <c r="I24" i="34"/>
  <c r="E31" i="34"/>
  <c r="F31" i="34"/>
  <c r="G31" i="34"/>
  <c r="H31" i="34"/>
  <c r="E32" i="34"/>
  <c r="F32" i="34"/>
  <c r="G32" i="34"/>
  <c r="H32" i="34"/>
  <c r="E33" i="34"/>
  <c r="F33" i="34"/>
  <c r="G33" i="34"/>
  <c r="H33" i="34"/>
  <c r="E34" i="34"/>
  <c r="F34" i="34"/>
  <c r="G34" i="34"/>
  <c r="H34" i="34"/>
  <c r="B8" i="22"/>
  <c r="L5" i="22" s="1"/>
  <c r="C8" i="22"/>
  <c r="D8" i="22"/>
  <c r="E8" i="22"/>
  <c r="F8" i="22"/>
  <c r="G8" i="22"/>
  <c r="I8" i="22"/>
  <c r="J14" i="48"/>
  <c r="H14" i="48"/>
  <c r="G14" i="48"/>
  <c r="G30" i="48" s="1"/>
  <c r="F14" i="48"/>
  <c r="E14" i="48"/>
  <c r="D14" i="48"/>
  <c r="C14" i="48"/>
  <c r="B14" i="48"/>
  <c r="H13" i="48"/>
  <c r="H29" i="48" s="1"/>
  <c r="G13" i="48"/>
  <c r="G29" i="48" s="1"/>
  <c r="F13" i="48"/>
  <c r="E13" i="48"/>
  <c r="E29" i="48" s="1"/>
  <c r="D13" i="48"/>
  <c r="D29" i="48" s="1"/>
  <c r="C13" i="48"/>
  <c r="C29" i="48" s="1"/>
  <c r="B13" i="48"/>
  <c r="B29" i="48" s="1"/>
  <c r="H12" i="48"/>
  <c r="H28" i="48" s="1"/>
  <c r="G12" i="48"/>
  <c r="G28" i="48" s="1"/>
  <c r="F12" i="48"/>
  <c r="F28" i="48" s="1"/>
  <c r="E12" i="48"/>
  <c r="E28" i="48" s="1"/>
  <c r="D12" i="48"/>
  <c r="D28" i="48" s="1"/>
  <c r="C12" i="48"/>
  <c r="C28" i="48" s="1"/>
  <c r="B12" i="48"/>
  <c r="B28" i="48" s="1"/>
  <c r="H11" i="48"/>
  <c r="H27" i="48" s="1"/>
  <c r="G11" i="48"/>
  <c r="G27" i="48" s="1"/>
  <c r="F11" i="48"/>
  <c r="F27" i="48" s="1"/>
  <c r="E11" i="48"/>
  <c r="E27" i="48" s="1"/>
  <c r="D11" i="48"/>
  <c r="D27" i="48" s="1"/>
  <c r="C11" i="48"/>
  <c r="C27" i="48" s="1"/>
  <c r="B11" i="48"/>
  <c r="B27" i="48" s="1"/>
  <c r="H10" i="48"/>
  <c r="H26" i="48" s="1"/>
  <c r="G10" i="48"/>
  <c r="F10" i="48"/>
  <c r="E10" i="48"/>
  <c r="E26" i="48" s="1"/>
  <c r="D10" i="48"/>
  <c r="D26" i="48" s="1"/>
  <c r="C10" i="48"/>
  <c r="B10" i="48"/>
  <c r="H9" i="48"/>
  <c r="H25" i="48" s="1"/>
  <c r="G9" i="48"/>
  <c r="G25" i="48" s="1"/>
  <c r="F9" i="48"/>
  <c r="E9" i="48"/>
  <c r="E25" i="48" s="1"/>
  <c r="D9" i="48"/>
  <c r="D25" i="48" s="1"/>
  <c r="C9" i="48"/>
  <c r="C25" i="48" s="1"/>
  <c r="B9" i="48"/>
  <c r="B25" i="48" s="1"/>
  <c r="H8" i="48"/>
  <c r="H24" i="48" s="1"/>
  <c r="G8" i="48"/>
  <c r="G24" i="48" s="1"/>
  <c r="F8" i="48"/>
  <c r="E8" i="48"/>
  <c r="E24" i="48" s="1"/>
  <c r="D8" i="48"/>
  <c r="D24" i="48" s="1"/>
  <c r="C8" i="48"/>
  <c r="C24" i="48" s="1"/>
  <c r="B8" i="48"/>
  <c r="B24" i="48" s="1"/>
  <c r="H7" i="48"/>
  <c r="H23" i="48" s="1"/>
  <c r="G7" i="48"/>
  <c r="G23" i="48" s="1"/>
  <c r="F7" i="48"/>
  <c r="F23" i="48" s="1"/>
  <c r="E7" i="48"/>
  <c r="E23" i="48" s="1"/>
  <c r="D7" i="48"/>
  <c r="D23" i="48" s="1"/>
  <c r="C7" i="48"/>
  <c r="C23" i="48" s="1"/>
  <c r="B7" i="48"/>
  <c r="B23" i="48" s="1"/>
  <c r="H6" i="48"/>
  <c r="H22" i="48" s="1"/>
  <c r="G6" i="48"/>
  <c r="G22" i="48" s="1"/>
  <c r="F6" i="48"/>
  <c r="E6" i="48"/>
  <c r="E22" i="48" s="1"/>
  <c r="D6" i="48"/>
  <c r="D22" i="48" s="1"/>
  <c r="C6" i="48"/>
  <c r="C22" i="48" s="1"/>
  <c r="B6" i="48"/>
  <c r="B22" i="48" s="1"/>
  <c r="H5" i="48"/>
  <c r="H21" i="48" s="1"/>
  <c r="G5" i="48"/>
  <c r="G21" i="48" s="1"/>
  <c r="F5" i="48"/>
  <c r="E5" i="48"/>
  <c r="E21" i="48" s="1"/>
  <c r="D5" i="48"/>
  <c r="D21" i="48" s="1"/>
  <c r="C5" i="48"/>
  <c r="C21" i="48" s="1"/>
  <c r="B5" i="48"/>
  <c r="B21" i="48" s="1"/>
  <c r="H4" i="48"/>
  <c r="H20" i="48" s="1"/>
  <c r="G4" i="48"/>
  <c r="G20" i="48" s="1"/>
  <c r="F4" i="48"/>
  <c r="E4" i="48"/>
  <c r="E20" i="48" s="1"/>
  <c r="D4" i="48"/>
  <c r="D20" i="48" s="1"/>
  <c r="C4" i="48"/>
  <c r="C20" i="48" s="1"/>
  <c r="B4" i="48"/>
  <c r="B20" i="48" s="1"/>
  <c r="L6" i="22" l="1"/>
  <c r="L7" i="22"/>
  <c r="L4" i="22"/>
  <c r="L8" i="22"/>
  <c r="I7" i="48"/>
  <c r="K7" i="48" s="1"/>
  <c r="I11" i="48"/>
  <c r="K11" i="48" s="1"/>
  <c r="I12" i="48"/>
  <c r="K12" i="48" s="1"/>
  <c r="F22" i="48"/>
  <c r="I6" i="48" s="1"/>
  <c r="B26" i="48"/>
  <c r="B37" i="48" s="1"/>
  <c r="F26" i="48"/>
  <c r="F21" i="48"/>
  <c r="I5" i="48" s="1"/>
  <c r="F25" i="48"/>
  <c r="I9" i="48" s="1"/>
  <c r="C26" i="48"/>
  <c r="C37" i="48" s="1"/>
  <c r="G26" i="48"/>
  <c r="G37" i="48" s="1"/>
  <c r="F29" i="48"/>
  <c r="I13" i="48" s="1"/>
  <c r="F20" i="48"/>
  <c r="I4" i="48" s="1"/>
  <c r="F24" i="48"/>
  <c r="I8" i="48" s="1"/>
  <c r="H36" i="48"/>
  <c r="D38" i="48"/>
  <c r="H38" i="48"/>
  <c r="E36" i="48"/>
  <c r="E37" i="48"/>
  <c r="G38" i="48"/>
  <c r="D36" i="48"/>
  <c r="D37" i="48"/>
  <c r="C38" i="48"/>
  <c r="G39" i="48"/>
  <c r="B38" i="48"/>
  <c r="E38" i="48"/>
  <c r="C36" i="48"/>
  <c r="G36" i="48"/>
  <c r="H37" i="48"/>
  <c r="B36" i="48"/>
  <c r="I10" i="48" l="1"/>
  <c r="K10" i="48" s="1"/>
  <c r="K9" i="48"/>
  <c r="K13" i="48"/>
  <c r="K5" i="48"/>
  <c r="K6" i="48"/>
  <c r="K8" i="48"/>
  <c r="F37" i="48"/>
  <c r="G31" i="48"/>
  <c r="F38" i="48"/>
  <c r="F36" i="48"/>
  <c r="K4" i="48"/>
  <c r="G44" i="48"/>
  <c r="G43" i="48"/>
  <c r="G45" i="48"/>
  <c r="G46" i="48" l="1"/>
  <c r="J45" i="21" l="1"/>
  <c r="H48" i="21"/>
  <c r="E55" i="32" l="1"/>
  <c r="E54" i="32"/>
  <c r="E53" i="32"/>
  <c r="E52" i="32"/>
  <c r="E51" i="32"/>
  <c r="E50" i="32"/>
  <c r="E49" i="32"/>
  <c r="E48" i="32"/>
  <c r="E47" i="32"/>
  <c r="E46" i="32"/>
  <c r="E45" i="32"/>
  <c r="E44" i="32"/>
  <c r="E43" i="32"/>
  <c r="E42" i="32"/>
  <c r="B4" i="44"/>
  <c r="C4" i="44"/>
  <c r="D4" i="44" s="1"/>
  <c r="B5" i="44"/>
  <c r="C5" i="44"/>
  <c r="B6" i="44"/>
  <c r="C6" i="44"/>
  <c r="B8" i="44"/>
  <c r="C8" i="44"/>
  <c r="D6" i="44" l="1"/>
  <c r="D8" i="44"/>
  <c r="D5" i="44"/>
  <c r="O15" i="44" l="1"/>
  <c r="C7" i="44" s="1"/>
  <c r="N15" i="44"/>
  <c r="M15" i="44"/>
  <c r="L15" i="44"/>
  <c r="K15" i="44"/>
  <c r="J15" i="44"/>
  <c r="I15" i="44"/>
  <c r="B7" i="44" s="1"/>
  <c r="P13" i="44"/>
  <c r="P14" i="44"/>
  <c r="P16" i="44"/>
  <c r="P12" i="44"/>
  <c r="O9" i="44"/>
  <c r="O17" i="44" s="1"/>
  <c r="C9" i="44" s="1"/>
  <c r="N9" i="44"/>
  <c r="N17" i="44" s="1"/>
  <c r="M9" i="44"/>
  <c r="M17" i="44" s="1"/>
  <c r="L9" i="44"/>
  <c r="L17" i="44" s="1"/>
  <c r="K9" i="44"/>
  <c r="K17" i="44" s="1"/>
  <c r="J9" i="44"/>
  <c r="J17" i="44" s="1"/>
  <c r="I9" i="44"/>
  <c r="P7" i="44" s="1"/>
  <c r="D7" i="44" l="1"/>
  <c r="Q5" i="44"/>
  <c r="Q6" i="44"/>
  <c r="P4" i="44"/>
  <c r="B3" i="44" s="1"/>
  <c r="P8" i="44"/>
  <c r="P5" i="44"/>
  <c r="I17" i="44"/>
  <c r="Q7" i="44"/>
  <c r="R7" i="44" s="1"/>
  <c r="P6" i="44"/>
  <c r="Q4" i="44"/>
  <c r="C3" i="44" s="1"/>
  <c r="Q8" i="44"/>
  <c r="R8" i="44" l="1"/>
  <c r="R6" i="44"/>
  <c r="P9" i="44"/>
  <c r="Q9" i="44"/>
  <c r="R4" i="44"/>
  <c r="D3" i="44" s="1"/>
  <c r="R5" i="44"/>
  <c r="P17" i="44"/>
  <c r="B9" i="44"/>
  <c r="D9" i="44" s="1"/>
  <c r="B11" i="43" l="1"/>
  <c r="O48" i="21"/>
  <c r="O44" i="21"/>
  <c r="O39" i="21"/>
  <c r="O38" i="21"/>
  <c r="O37" i="21"/>
  <c r="O36" i="21"/>
  <c r="O35" i="21"/>
  <c r="O34" i="21"/>
  <c r="O33" i="21"/>
  <c r="O32" i="21"/>
  <c r="O31" i="21"/>
  <c r="O30" i="21"/>
  <c r="O29" i="21"/>
  <c r="F22" i="31" l="1"/>
  <c r="F21" i="31"/>
  <c r="F20" i="31"/>
  <c r="F19" i="31"/>
  <c r="F18" i="31"/>
  <c r="F17" i="31"/>
  <c r="F16" i="31"/>
  <c r="D12" i="31" l="1"/>
  <c r="Q43" i="21" l="1"/>
  <c r="E23" i="31"/>
  <c r="C11" i="47" l="1"/>
  <c r="C10" i="47"/>
  <c r="C9" i="47"/>
  <c r="C8" i="47"/>
  <c r="C7" i="47"/>
  <c r="C6" i="47"/>
  <c r="C5" i="47"/>
  <c r="C4" i="47"/>
  <c r="B10" i="43" l="1"/>
  <c r="K4" i="22"/>
  <c r="D22" i="31"/>
  <c r="B12" i="43" l="1"/>
  <c r="C12" i="43" s="1"/>
  <c r="C11" i="43"/>
  <c r="C7" i="43"/>
  <c r="C4" i="43"/>
  <c r="C8" i="43"/>
  <c r="C9" i="43"/>
  <c r="C6" i="43"/>
  <c r="C3" i="43"/>
  <c r="C5" i="43"/>
  <c r="I32" i="34"/>
  <c r="R5" i="34" s="1"/>
  <c r="I33" i="34"/>
  <c r="I34" i="34"/>
  <c r="I31" i="34"/>
  <c r="C10" i="43" l="1"/>
  <c r="O14" i="19" l="1"/>
  <c r="O5" i="19"/>
  <c r="O6" i="19"/>
  <c r="O7" i="19"/>
  <c r="O8" i="19"/>
  <c r="O9" i="19"/>
  <c r="O10" i="19"/>
  <c r="O11" i="19"/>
  <c r="O12" i="19"/>
  <c r="O13" i="19"/>
  <c r="O4" i="19"/>
  <c r="D14" i="40" l="1"/>
  <c r="H18" i="32"/>
  <c r="K17" i="32"/>
  <c r="J17" i="32"/>
  <c r="Q8" i="34"/>
  <c r="I25" i="34" s="1"/>
  <c r="O8" i="34"/>
  <c r="M8" i="34"/>
  <c r="F55" i="32" l="1"/>
  <c r="F51" i="32"/>
  <c r="F47" i="32"/>
  <c r="F43" i="32"/>
  <c r="F49" i="32"/>
  <c r="F45" i="32"/>
  <c r="F52" i="32"/>
  <c r="F48" i="32"/>
  <c r="F44" i="32"/>
  <c r="F54" i="32"/>
  <c r="F50" i="32"/>
  <c r="F46" i="32"/>
  <c r="F42" i="32"/>
  <c r="F53" i="32"/>
  <c r="J18" i="32"/>
  <c r="E14" i="40"/>
  <c r="E10" i="40"/>
  <c r="E6" i="40"/>
  <c r="E13" i="40"/>
  <c r="E9" i="40"/>
  <c r="E5" i="40"/>
  <c r="E12" i="40"/>
  <c r="E8" i="40"/>
  <c r="E4" i="40"/>
  <c r="E11" i="40"/>
  <c r="E7" i="40"/>
  <c r="H25" i="34"/>
  <c r="I16" i="34" l="1"/>
  <c r="H18" i="22"/>
  <c r="K5" i="22"/>
  <c r="K6" i="22"/>
  <c r="K7" i="22"/>
  <c r="I8" i="34"/>
  <c r="I47" i="21"/>
  <c r="I46" i="21"/>
  <c r="I45" i="21"/>
  <c r="J40" i="21"/>
  <c r="K40" i="21"/>
  <c r="I40" i="21"/>
  <c r="H30" i="48" s="1"/>
  <c r="B23" i="31"/>
  <c r="C23" i="31"/>
  <c r="J8" i="34" l="1"/>
  <c r="I9" i="22"/>
  <c r="J16" i="34"/>
  <c r="H31" i="48"/>
  <c r="H39" i="48"/>
  <c r="I48" i="21"/>
  <c r="J5" i="22"/>
  <c r="M5" i="22" s="1"/>
  <c r="J4" i="22"/>
  <c r="M4" i="22" s="1"/>
  <c r="J6" i="22"/>
  <c r="M6" i="22" s="1"/>
  <c r="J7" i="22"/>
  <c r="M7" i="22" s="1"/>
  <c r="K8" i="22"/>
  <c r="J8" i="22"/>
  <c r="M8" i="22" s="1"/>
  <c r="J12" i="34"/>
  <c r="J5" i="34"/>
  <c r="J7" i="34"/>
  <c r="J15" i="34"/>
  <c r="J14" i="34"/>
  <c r="J6" i="34"/>
  <c r="J4" i="34"/>
  <c r="J13" i="34"/>
  <c r="I35" i="34"/>
  <c r="D23" i="31"/>
  <c r="I18" i="22"/>
  <c r="H19" i="22"/>
  <c r="I17" i="22"/>
  <c r="L14" i="19"/>
  <c r="L15" i="19" s="1"/>
  <c r="H43" i="48" l="1"/>
  <c r="H44" i="48"/>
  <c r="H45" i="48"/>
  <c r="D15" i="40"/>
  <c r="H16" i="34"/>
  <c r="H8" i="34"/>
  <c r="G19" i="22"/>
  <c r="H56" i="21"/>
  <c r="H47" i="21"/>
  <c r="H46" i="21"/>
  <c r="H45" i="21"/>
  <c r="D21" i="31"/>
  <c r="H9" i="22" l="1"/>
  <c r="H35" i="34"/>
  <c r="H46" i="48"/>
  <c r="O45" i="21"/>
  <c r="O46" i="21"/>
  <c r="O47" i="21"/>
  <c r="H54" i="21"/>
  <c r="H53" i="21"/>
  <c r="H55" i="21"/>
  <c r="K45" i="21"/>
  <c r="J46" i="21"/>
  <c r="K46" i="21"/>
  <c r="J47" i="21"/>
  <c r="K47" i="21"/>
  <c r="J48" i="21"/>
  <c r="K48" i="21"/>
  <c r="B14" i="40" l="1"/>
  <c r="F40" i="21"/>
  <c r="E30" i="48" s="1"/>
  <c r="F47" i="21"/>
  <c r="F46" i="21"/>
  <c r="F45" i="21"/>
  <c r="B16" i="38"/>
  <c r="C46" i="21"/>
  <c r="D46" i="21"/>
  <c r="E46" i="21"/>
  <c r="G46" i="21"/>
  <c r="D3" i="31"/>
  <c r="D4" i="31"/>
  <c r="D5" i="31"/>
  <c r="D6" i="31"/>
  <c r="D7" i="31"/>
  <c r="D8" i="31"/>
  <c r="D9" i="31"/>
  <c r="D10" i="31"/>
  <c r="D11" i="31"/>
  <c r="D13" i="31"/>
  <c r="D14" i="31"/>
  <c r="D15" i="31"/>
  <c r="D16" i="31"/>
  <c r="D17" i="31"/>
  <c r="D7" i="19"/>
  <c r="D8" i="19"/>
  <c r="D15" i="19" s="1"/>
  <c r="D5" i="19"/>
  <c r="D10" i="19"/>
  <c r="D11" i="19"/>
  <c r="D13" i="19"/>
  <c r="D9" i="19"/>
  <c r="D4" i="19"/>
  <c r="B14" i="19"/>
  <c r="B15" i="19" s="1"/>
  <c r="C4" i="19"/>
  <c r="P4" i="19" s="1"/>
  <c r="B8" i="34"/>
  <c r="B9" i="22" s="1"/>
  <c r="C8" i="34"/>
  <c r="C9" i="22" s="1"/>
  <c r="D8" i="34"/>
  <c r="D9" i="22" s="1"/>
  <c r="E8" i="34"/>
  <c r="E9" i="22" s="1"/>
  <c r="F8" i="34"/>
  <c r="F9" i="22" s="1"/>
  <c r="G8" i="34"/>
  <c r="G9" i="22" s="1"/>
  <c r="G25" i="34"/>
  <c r="F25" i="34"/>
  <c r="E25" i="34"/>
  <c r="E35" i="34" s="1"/>
  <c r="G16" i="34"/>
  <c r="F16" i="34"/>
  <c r="E16" i="34"/>
  <c r="P8" i="34"/>
  <c r="P5" i="34"/>
  <c r="B4" i="32"/>
  <c r="E18" i="22"/>
  <c r="D18" i="22"/>
  <c r="J14" i="19"/>
  <c r="J15" i="19" s="1"/>
  <c r="G17" i="32"/>
  <c r="E17" i="32"/>
  <c r="C17" i="32"/>
  <c r="F18" i="22"/>
  <c r="N8" i="34"/>
  <c r="E19" i="22"/>
  <c r="D17" i="32"/>
  <c r="F17" i="32"/>
  <c r="D20" i="31"/>
  <c r="H14" i="19"/>
  <c r="H15" i="19" s="1"/>
  <c r="D19" i="31"/>
  <c r="D18" i="31"/>
  <c r="C45" i="21"/>
  <c r="D45" i="21"/>
  <c r="E45" i="21"/>
  <c r="G45" i="21"/>
  <c r="I43" i="48" s="1"/>
  <c r="C47" i="21"/>
  <c r="D47" i="21"/>
  <c r="E47" i="21"/>
  <c r="G47" i="21"/>
  <c r="G40" i="21"/>
  <c r="E40" i="21"/>
  <c r="D30" i="48" s="1"/>
  <c r="D40" i="21"/>
  <c r="C30" i="48" s="1"/>
  <c r="C40" i="21"/>
  <c r="B30" i="48" s="1"/>
  <c r="B39" i="21"/>
  <c r="B35" i="21"/>
  <c r="B34" i="21"/>
  <c r="B37" i="21"/>
  <c r="B36" i="21"/>
  <c r="B38" i="21"/>
  <c r="B33" i="21"/>
  <c r="B31" i="21"/>
  <c r="B30" i="21"/>
  <c r="F14" i="19"/>
  <c r="G10" i="19" s="1"/>
  <c r="F35" i="34" l="1"/>
  <c r="G35" i="34"/>
  <c r="K43" i="48"/>
  <c r="R45" i="21"/>
  <c r="S45" i="21" s="1"/>
  <c r="F30" i="48"/>
  <c r="I14" i="48" s="1"/>
  <c r="K14" i="48" s="1"/>
  <c r="R32" i="21"/>
  <c r="S32" i="21" s="1"/>
  <c r="R36" i="21"/>
  <c r="S36" i="21" s="1"/>
  <c r="R40" i="21"/>
  <c r="R33" i="21"/>
  <c r="S33" i="21" s="1"/>
  <c r="R37" i="21"/>
  <c r="S37" i="21" s="1"/>
  <c r="R30" i="21"/>
  <c r="R34" i="21"/>
  <c r="S34" i="21" s="1"/>
  <c r="R38" i="21"/>
  <c r="S38" i="21" s="1"/>
  <c r="R31" i="21"/>
  <c r="S31" i="21" s="1"/>
  <c r="R35" i="21"/>
  <c r="S35" i="21" s="1"/>
  <c r="R39" i="21"/>
  <c r="S39" i="21" s="1"/>
  <c r="I44" i="48"/>
  <c r="K44" i="48" s="1"/>
  <c r="R46" i="21"/>
  <c r="S46" i="21" s="1"/>
  <c r="I45" i="48"/>
  <c r="K45" i="48" s="1"/>
  <c r="R47" i="21"/>
  <c r="S47" i="21" s="1"/>
  <c r="F39" i="48"/>
  <c r="E31" i="48"/>
  <c r="E39" i="48"/>
  <c r="B39" i="48"/>
  <c r="B31" i="48"/>
  <c r="C39" i="48"/>
  <c r="C31" i="48"/>
  <c r="D31" i="48"/>
  <c r="D39" i="48"/>
  <c r="B47" i="21"/>
  <c r="C9" i="19"/>
  <c r="P9" i="19" s="1"/>
  <c r="G6" i="19"/>
  <c r="I6" i="19"/>
  <c r="D55" i="32"/>
  <c r="D51" i="32"/>
  <c r="D47" i="32"/>
  <c r="D43" i="32"/>
  <c r="D42" i="32"/>
  <c r="D53" i="32"/>
  <c r="D49" i="32"/>
  <c r="D45" i="32"/>
  <c r="D52" i="32"/>
  <c r="D54" i="32"/>
  <c r="D50" i="32"/>
  <c r="D46" i="32"/>
  <c r="D48" i="32"/>
  <c r="D44" i="32"/>
  <c r="C53" i="32"/>
  <c r="C49" i="32"/>
  <c r="C45" i="32"/>
  <c r="C50" i="32"/>
  <c r="C42" i="32"/>
  <c r="C52" i="32"/>
  <c r="C48" i="32"/>
  <c r="C44" i="32"/>
  <c r="C55" i="32"/>
  <c r="C51" i="32"/>
  <c r="C47" i="32"/>
  <c r="C43" i="32"/>
  <c r="C54" i="32"/>
  <c r="C46" i="32"/>
  <c r="F18" i="32"/>
  <c r="B17" i="32"/>
  <c r="I14" i="19"/>
  <c r="C14" i="19"/>
  <c r="P14" i="19" s="1"/>
  <c r="G12" i="19"/>
  <c r="G14" i="19"/>
  <c r="I4" i="19"/>
  <c r="I7" i="19"/>
  <c r="G4" i="19"/>
  <c r="I10" i="19"/>
  <c r="C12" i="19"/>
  <c r="P12" i="19" s="1"/>
  <c r="I11" i="19"/>
  <c r="G8" i="19"/>
  <c r="G11" i="19"/>
  <c r="I8" i="19"/>
  <c r="I13" i="19"/>
  <c r="C7" i="19"/>
  <c r="P7" i="19" s="1"/>
  <c r="C13" i="38"/>
  <c r="C5" i="38"/>
  <c r="C12" i="38"/>
  <c r="C4" i="38"/>
  <c r="C6" i="38"/>
  <c r="C11" i="38"/>
  <c r="C3" i="38"/>
  <c r="C9" i="38"/>
  <c r="C8" i="38"/>
  <c r="C15" i="38"/>
  <c r="C14" i="38"/>
  <c r="C10" i="38"/>
  <c r="C16" i="38"/>
  <c r="C7" i="38"/>
  <c r="I9" i="19"/>
  <c r="I5" i="19"/>
  <c r="C5" i="19"/>
  <c r="P5" i="19" s="1"/>
  <c r="C6" i="40"/>
  <c r="F6" i="40" s="1"/>
  <c r="C13" i="40"/>
  <c r="F13" i="40" s="1"/>
  <c r="B46" i="21"/>
  <c r="C48" i="21"/>
  <c r="C56" i="21" s="1"/>
  <c r="D48" i="21"/>
  <c r="D56" i="21" s="1"/>
  <c r="E48" i="21"/>
  <c r="E56" i="21" s="1"/>
  <c r="I56" i="21"/>
  <c r="I55" i="21"/>
  <c r="I53" i="21"/>
  <c r="I54" i="21"/>
  <c r="D18" i="32"/>
  <c r="G5" i="19"/>
  <c r="C13" i="19"/>
  <c r="P13" i="19" s="1"/>
  <c r="C10" i="19"/>
  <c r="P10" i="19" s="1"/>
  <c r="P7" i="34"/>
  <c r="Q32" i="21"/>
  <c r="F15" i="19"/>
  <c r="G9" i="19"/>
  <c r="G7" i="19"/>
  <c r="B45" i="21"/>
  <c r="D19" i="22"/>
  <c r="P4" i="34"/>
  <c r="G13" i="19"/>
  <c r="F19" i="22"/>
  <c r="P6" i="34"/>
  <c r="C11" i="19"/>
  <c r="P11" i="19" s="1"/>
  <c r="C6" i="19"/>
  <c r="P6" i="19" s="1"/>
  <c r="C8" i="19"/>
  <c r="P8" i="19" s="1"/>
  <c r="I12" i="19"/>
  <c r="B40" i="21"/>
  <c r="C5" i="40"/>
  <c r="F5" i="40" s="1"/>
  <c r="C8" i="40"/>
  <c r="F8" i="40" s="1"/>
  <c r="C11" i="40"/>
  <c r="F11" i="40" s="1"/>
  <c r="C4" i="40"/>
  <c r="F4" i="40" s="1"/>
  <c r="C9" i="40"/>
  <c r="F9" i="40" s="1"/>
  <c r="C14" i="40"/>
  <c r="F14" i="40" s="1"/>
  <c r="C7" i="40"/>
  <c r="F7" i="40" s="1"/>
  <c r="B15" i="40"/>
  <c r="C10" i="40"/>
  <c r="F10" i="40" s="1"/>
  <c r="C12" i="40"/>
  <c r="F12" i="40" s="1"/>
  <c r="N5" i="34"/>
  <c r="N4" i="34"/>
  <c r="N7" i="34"/>
  <c r="N6" i="34"/>
  <c r="Q37" i="21"/>
  <c r="Q33" i="21"/>
  <c r="F48" i="21"/>
  <c r="Q36" i="21"/>
  <c r="G48" i="21"/>
  <c r="R48" i="21" s="1"/>
  <c r="Q30" i="21"/>
  <c r="Q39" i="21"/>
  <c r="Q35" i="21"/>
  <c r="Q31" i="21"/>
  <c r="Q38" i="21"/>
  <c r="Q34" i="21"/>
  <c r="S30" i="21" l="1"/>
  <c r="F31" i="48"/>
  <c r="Q41" i="21"/>
  <c r="N47" i="21"/>
  <c r="B44" i="48"/>
  <c r="B45" i="48"/>
  <c r="B43" i="48"/>
  <c r="I46" i="48"/>
  <c r="K46" i="48" s="1"/>
  <c r="F44" i="48"/>
  <c r="F45" i="48"/>
  <c r="F43" i="48"/>
  <c r="E44" i="48"/>
  <c r="E43" i="48"/>
  <c r="E45" i="48"/>
  <c r="C45" i="48"/>
  <c r="C44" i="48"/>
  <c r="C43" i="48"/>
  <c r="D43" i="48"/>
  <c r="D45" i="48"/>
  <c r="D44" i="48"/>
  <c r="B55" i="32"/>
  <c r="B51" i="32"/>
  <c r="B47" i="32"/>
  <c r="B43" i="32"/>
  <c r="B53" i="32"/>
  <c r="B48" i="32"/>
  <c r="B44" i="32"/>
  <c r="B54" i="32"/>
  <c r="B50" i="32"/>
  <c r="B46" i="32"/>
  <c r="B49" i="32"/>
  <c r="B45" i="32"/>
  <c r="B52" i="32"/>
  <c r="B42" i="32"/>
  <c r="B18" i="32"/>
  <c r="N38" i="21"/>
  <c r="N32" i="21"/>
  <c r="N31" i="21"/>
  <c r="N39" i="21"/>
  <c r="N37" i="21"/>
  <c r="N36" i="21"/>
  <c r="N34" i="21"/>
  <c r="N35" i="21"/>
  <c r="N46" i="21"/>
  <c r="B48" i="21"/>
  <c r="N48" i="21" s="1"/>
  <c r="N30" i="21"/>
  <c r="N33" i="21"/>
  <c r="N45" i="21"/>
  <c r="Q46" i="21"/>
  <c r="F56" i="21"/>
  <c r="G56" i="21"/>
  <c r="G54" i="21"/>
  <c r="G55" i="21"/>
  <c r="G53" i="21"/>
  <c r="Q45" i="21"/>
  <c r="Q47" i="21"/>
  <c r="O40" i="21"/>
  <c r="Q40" i="21" s="1"/>
  <c r="Q48" i="21" s="1"/>
  <c r="N40" i="21" l="1"/>
  <c r="F46" i="48"/>
  <c r="B46" i="48"/>
  <c r="D46" i="48"/>
  <c r="C46" i="48"/>
  <c r="E46" i="48"/>
  <c r="B56" i="21"/>
</calcChain>
</file>

<file path=xl/comments1.xml><?xml version="1.0" encoding="utf-8"?>
<comments xmlns="http://schemas.openxmlformats.org/spreadsheetml/2006/main">
  <authors>
    <author>Auteur</author>
  </authors>
  <commentList>
    <comment ref="B14" authorId="0">
      <text>
        <r>
          <rPr>
            <b/>
            <sz val="8"/>
            <color indexed="81"/>
            <rFont val="Tahoma"/>
            <family val="2"/>
          </rPr>
          <t>on retire les 47 dossiers tranférés de 2010 sur 2011</t>
        </r>
      </text>
    </comment>
  </commentList>
</comments>
</file>

<file path=xl/sharedStrings.xml><?xml version="1.0" encoding="utf-8"?>
<sst xmlns="http://schemas.openxmlformats.org/spreadsheetml/2006/main" count="484" uniqueCount="262">
  <si>
    <t>Afrique sub-saharienne</t>
  </si>
  <si>
    <t>Asie</t>
  </si>
  <si>
    <t>Moyen-Orient</t>
  </si>
  <si>
    <t>Maghreb</t>
  </si>
  <si>
    <t>Sciences pour l'ingénieur</t>
  </si>
  <si>
    <t>Amerique latine</t>
  </si>
  <si>
    <t>Europe hors UE</t>
  </si>
  <si>
    <t>Amérique du nord</t>
  </si>
  <si>
    <t>Sciences de la Société</t>
  </si>
  <si>
    <t>Sciences de la Terre</t>
  </si>
  <si>
    <t>Mathématiques</t>
  </si>
  <si>
    <t>Physique</t>
  </si>
  <si>
    <t>Santé</t>
  </si>
  <si>
    <t>Sciences de l'Homme</t>
  </si>
  <si>
    <t>STIC</t>
  </si>
  <si>
    <t>Total</t>
  </si>
  <si>
    <t>%</t>
  </si>
  <si>
    <t>Nombre</t>
  </si>
  <si>
    <t>Ingénieur uniquement</t>
  </si>
  <si>
    <t>Autres</t>
  </si>
  <si>
    <t>PME &lt; 250 salariés</t>
  </si>
  <si>
    <t>&lt; 10</t>
  </si>
  <si>
    <t>10 à 49</t>
  </si>
  <si>
    <t>50 à 99</t>
  </si>
  <si>
    <t>100 à 249</t>
  </si>
  <si>
    <t>Océanie</t>
  </si>
  <si>
    <t>ETI entre 250 &amp; 5000 salariés</t>
  </si>
  <si>
    <t>Associations ou collectivités territoriales</t>
  </si>
  <si>
    <t>Dossiers reçus</t>
  </si>
  <si>
    <t>Agronomie, Agroalimentaire</t>
  </si>
  <si>
    <t>Chimie, Matériaux</t>
  </si>
  <si>
    <t>France</t>
  </si>
  <si>
    <t>Sciences humaines et humanités</t>
  </si>
  <si>
    <t>Sciences du vivant</t>
  </si>
  <si>
    <t>Sciences exactes et applications</t>
  </si>
  <si>
    <t>BTP</t>
  </si>
  <si>
    <t>Aéronautique &amp; spatial</t>
  </si>
  <si>
    <t>Electronique communication &amp; informatique</t>
  </si>
  <si>
    <t>Energie production et distribution</t>
  </si>
  <si>
    <t>Equipement &amp; produits</t>
  </si>
  <si>
    <t xml:space="preserve">Transports terrestres &amp; navals </t>
  </si>
  <si>
    <t>Chimie &amp; matériaux</t>
  </si>
  <si>
    <t>Pharmaceutique &amp; médical</t>
  </si>
  <si>
    <t>Agroalimentaire</t>
  </si>
  <si>
    <t>Services R&amp;D et ingénierie</t>
  </si>
  <si>
    <t>Finance &amp; Juridique</t>
  </si>
  <si>
    <t>Services tertiaires</t>
  </si>
  <si>
    <t>Edition</t>
  </si>
  <si>
    <t>2016</t>
  </si>
  <si>
    <t>2017</t>
  </si>
  <si>
    <t>L’état de l’emploi scientifique en France</t>
  </si>
  <si>
    <t>Contenu du classeur</t>
  </si>
  <si>
    <t>Feuille</t>
  </si>
  <si>
    <t>Titre des tableaux ou graphiques</t>
  </si>
  <si>
    <t>Définitions</t>
  </si>
  <si>
    <t>Signes conventionnels utilisés</t>
  </si>
  <si>
    <r>
      <rPr>
        <b/>
        <sz val="8"/>
        <rFont val="Arial"/>
        <family val="2"/>
      </rPr>
      <t>ε</t>
    </r>
    <r>
      <rPr>
        <sz val="8"/>
        <rFont val="Arial"/>
        <family val="2"/>
      </rPr>
      <t xml:space="preserve"> Résultat très petit mais non nul</t>
    </r>
  </si>
  <si>
    <r>
      <rPr>
        <b/>
        <sz val="8"/>
        <rFont val="Arial"/>
        <family val="2"/>
      </rPr>
      <t>n.s.</t>
    </r>
    <r>
      <rPr>
        <sz val="8"/>
        <rFont val="Arial"/>
        <family val="2"/>
      </rPr>
      <t xml:space="preserve"> Résultat non significatif</t>
    </r>
  </si>
  <si>
    <r>
      <rPr>
        <b/>
        <sz val="8"/>
        <rFont val="Arial"/>
        <family val="2"/>
      </rPr>
      <t xml:space="preserve">n.d. </t>
    </r>
    <r>
      <rPr>
        <sz val="8"/>
        <rFont val="Arial"/>
        <family val="2"/>
      </rPr>
      <t>Information non disponible</t>
    </r>
  </si>
  <si>
    <r>
      <rPr>
        <b/>
        <sz val="8"/>
        <rFont val="Arial"/>
        <family val="2"/>
      </rPr>
      <t>p</t>
    </r>
    <r>
      <rPr>
        <sz val="8"/>
        <rFont val="Arial"/>
        <family val="2"/>
      </rPr>
      <t xml:space="preserve"> Données provisoires</t>
    </r>
  </si>
  <si>
    <r>
      <rPr>
        <b/>
        <sz val="8"/>
        <rFont val="Arial"/>
        <family val="2"/>
      </rPr>
      <t>(r)</t>
    </r>
    <r>
      <rPr>
        <sz val="8"/>
        <rFont val="Arial"/>
        <family val="2"/>
      </rPr>
      <t xml:space="preserve"> Données révisées par rapport à l’édition précédente</t>
    </r>
  </si>
  <si>
    <t>II.3 Les conventions industrielles de formation par la recherche (CIFRE)</t>
  </si>
  <si>
    <t xml:space="preserve">Master </t>
  </si>
  <si>
    <t xml:space="preserve">Ingénieur + Master </t>
  </si>
  <si>
    <t>Ingénieur + autre</t>
  </si>
  <si>
    <t xml:space="preserve">Master + Second Master </t>
  </si>
  <si>
    <t>Master + autre</t>
  </si>
  <si>
    <t>Nous vous remercions d’adresser vos observations  
et suggestions éventuelles à : 
emploi.scientifique@recherche.gouv.fr</t>
  </si>
  <si>
    <t xml:space="preserve">Groupes d'entreprises ou grandes entreprises &gt;= 5000 </t>
  </si>
  <si>
    <t>Année de fin de Cifre</t>
  </si>
  <si>
    <t>Thèse soutenue</t>
  </si>
  <si>
    <t>Encore à soutenir</t>
  </si>
  <si>
    <t>Jamais soutenue</t>
  </si>
  <si>
    <t>Reste union Européenne</t>
  </si>
  <si>
    <t>Sciences humaines et sociales</t>
  </si>
  <si>
    <t>Proceeding de congrès internationaux</t>
  </si>
  <si>
    <t>Proceeding de congrès nationaux</t>
  </si>
  <si>
    <t>Brevets</t>
  </si>
  <si>
    <t>Communication sous forme de poster</t>
  </si>
  <si>
    <t>Prix ou reconnaissance décerné(s)</t>
  </si>
  <si>
    <t>Taux de succés</t>
  </si>
  <si>
    <t>Employeur</t>
  </si>
  <si>
    <t>Effectifs</t>
  </si>
  <si>
    <t>Employeurs</t>
  </si>
  <si>
    <t xml:space="preserve">Ensemble
</t>
  </si>
  <si>
    <t>Région</t>
  </si>
  <si>
    <t>Soutenance des thèses Cifre à 1 et 5 ans après la fin du contrat</t>
  </si>
  <si>
    <t>Soutenance à 1 an</t>
  </si>
  <si>
    <t>Soutenance à 5 ans</t>
  </si>
  <si>
    <t>secteur</t>
  </si>
  <si>
    <t>Origine geo</t>
  </si>
  <si>
    <t>Diplômes</t>
  </si>
  <si>
    <t>Salaire</t>
  </si>
  <si>
    <t>Part des nouveaux dans le total Cifre allouées</t>
  </si>
  <si>
    <t>Nombre de doctorants par employeur</t>
  </si>
  <si>
    <t>Total Cifre allouées</t>
  </si>
  <si>
    <t>Nombre de nouveaux employeurs de Cifre*</t>
  </si>
  <si>
    <t>dont groupes ou grandes entreprises</t>
  </si>
  <si>
    <t>Diplôme(s) antérieur(s)</t>
  </si>
  <si>
    <t>Cifre allouées par domaine regroupé : effectifs</t>
  </si>
  <si>
    <t>Cifre allouées par domaine regroupé : %</t>
  </si>
  <si>
    <t>Domaine scientifique de thèse</t>
  </si>
  <si>
    <t>Domaine regroupé</t>
  </si>
  <si>
    <t>Détail pour les PME</t>
  </si>
  <si>
    <t>(*) n'ayant pas employé de Cifre les 5 années précédentes.</t>
  </si>
  <si>
    <t>Nombre de Cifre*</t>
  </si>
  <si>
    <r>
      <t>(**)</t>
    </r>
    <r>
      <rPr>
        <sz val="8"/>
        <rFont val="Arial"/>
        <family val="2"/>
      </rPr>
      <t xml:space="preserve"> ou aussi "taux de renouvellement".</t>
    </r>
  </si>
  <si>
    <t>Évolution du nombre de Cifre</t>
  </si>
  <si>
    <t>Cifre allouées</t>
  </si>
  <si>
    <r>
      <t xml:space="preserve">Part de nouveaux </t>
    </r>
    <r>
      <rPr>
        <sz val="9"/>
        <rFont val="Arial"/>
        <family val="2"/>
      </rPr>
      <t>(%)</t>
    </r>
    <r>
      <rPr>
        <b/>
        <sz val="9"/>
        <rFont val="Arial"/>
        <family val="2"/>
      </rPr>
      <t>**</t>
    </r>
  </si>
  <si>
    <r>
      <t>Part de nouveaux</t>
    </r>
    <r>
      <rPr>
        <sz val="9"/>
        <rFont val="Arial"/>
        <family val="2"/>
      </rPr>
      <t xml:space="preserve"> (%)</t>
    </r>
    <r>
      <rPr>
        <b/>
        <sz val="9"/>
        <rFont val="Arial"/>
        <family val="2"/>
      </rPr>
      <t>**</t>
    </r>
  </si>
  <si>
    <t>Secteur d'activité</t>
  </si>
  <si>
    <t>Evol Cifre</t>
  </si>
  <si>
    <t>Domaine sc</t>
  </si>
  <si>
    <t>Cifre Employeur</t>
  </si>
  <si>
    <t>Soutenance</t>
  </si>
  <si>
    <t>Doctorants Cifre rénumérés par des nouveaux employeurs*</t>
  </si>
  <si>
    <t>Nombre d'employeurs de Cifre</t>
  </si>
  <si>
    <t>Parts des doctorants étrangers</t>
  </si>
  <si>
    <t>Répartition des Cifre allouées, selon le secteur d'activité</t>
  </si>
  <si>
    <t>Origine géographique des doctorants Cifre acceptés</t>
  </si>
  <si>
    <t>Répartition des Cifre allouées par domaine scientifique regroupé</t>
  </si>
  <si>
    <t>Répartition des Cifre allouées par domaine scientifique (en %)</t>
  </si>
  <si>
    <t>Source : ANRT et MESRI-DGRI C2.</t>
  </si>
  <si>
    <t xml:space="preserve">Source : ANRT et MESRI-DGRI C2.
</t>
  </si>
  <si>
    <t xml:space="preserve">Nouveaux 
en 2017 </t>
  </si>
  <si>
    <t>Nouveaux en 2015</t>
  </si>
  <si>
    <t>Nouveaux en 2016</t>
  </si>
  <si>
    <t>Nombre de nouveaux employeurs de Cifre</t>
  </si>
  <si>
    <t>Publications</t>
  </si>
  <si>
    <t>08 : Soutenance des thèses Cifre à 1 et 5 ans après la fin du contrat</t>
  </si>
  <si>
    <t xml:space="preserve">Origine géographique des doctorants Cifre acceptés </t>
  </si>
  <si>
    <t>Évolution des Cifre allouées selon le type d'employeur</t>
  </si>
  <si>
    <t xml:space="preserve">Évolution des Cifre acceptées par domaine scientifique </t>
  </si>
  <si>
    <t>Source enquête ED</t>
  </si>
  <si>
    <t>Parts des groupes et grandes entreprises</t>
  </si>
  <si>
    <t>2018</t>
  </si>
  <si>
    <t>Nouveaux 
en 2018</t>
  </si>
  <si>
    <t>% 2019</t>
  </si>
  <si>
    <t>Écart 2019 / 2013</t>
  </si>
  <si>
    <t>2019</t>
  </si>
  <si>
    <t>H2019</t>
  </si>
  <si>
    <t>F2019</t>
  </si>
  <si>
    <t>Écart 2019/ 2013</t>
  </si>
  <si>
    <t>Nouveaux en 2019</t>
  </si>
  <si>
    <t>Les Cifre en 2019, selon la typologie des employeurs</t>
  </si>
  <si>
    <t>Nombre de doctorants par employeur en 2019</t>
  </si>
  <si>
    <r>
      <t xml:space="preserve">Part de nouveaux </t>
    </r>
    <r>
      <rPr>
        <i/>
        <sz val="9"/>
        <rFont val="Arial"/>
        <family val="2"/>
      </rPr>
      <t>(%)</t>
    </r>
    <r>
      <rPr>
        <b/>
        <i/>
        <sz val="9"/>
        <rFont val="Arial"/>
        <family val="2"/>
      </rPr>
      <t xml:space="preserve"> en 2019</t>
    </r>
  </si>
  <si>
    <t>Cumul 2000-2019</t>
  </si>
  <si>
    <t>Nombres d'employeurs en 2019</t>
  </si>
  <si>
    <t>Nouveaux
en 2019</t>
  </si>
  <si>
    <t>06 : Diplôme(s) antérieur(s) des doctorants Cifre acceptés en 2019</t>
  </si>
  <si>
    <t>23 485 - 28 000 €</t>
  </si>
  <si>
    <t>28 001 - 29 999 €</t>
  </si>
  <si>
    <t>30 000 - 35 000 €</t>
  </si>
  <si>
    <t>Plus de 35 000 €</t>
  </si>
  <si>
    <t xml:space="preserve"> </t>
  </si>
  <si>
    <r>
      <t>(**)</t>
    </r>
    <r>
      <rPr>
        <sz val="8"/>
        <rFont val="Arial"/>
        <family val="2"/>
      </rPr>
      <t xml:space="preserve"> ou aussi "taux de renouvellement". Taux entre 2013-2019</t>
    </r>
  </si>
  <si>
    <t>(*) n'ayant pas employé de Cifre sur la période 2013-2019</t>
  </si>
  <si>
    <t>Chimie/ Matériaux</t>
  </si>
  <si>
    <t>Agronomie/Agroalimentaire</t>
  </si>
  <si>
    <t>Médiane</t>
  </si>
  <si>
    <t>Médiane H</t>
  </si>
  <si>
    <t>Médiane F</t>
  </si>
  <si>
    <t>Ecarts Cifre/total, 2018</t>
  </si>
  <si>
    <t>1ères inscriptions en doctorat, tous, rentrée 2018</t>
  </si>
  <si>
    <t>2009-
10</t>
  </si>
  <si>
    <t>2010-
11</t>
  </si>
  <si>
    <t>2011-
12</t>
  </si>
  <si>
    <t>2012-
13</t>
  </si>
  <si>
    <t>2013-
14</t>
  </si>
  <si>
    <t>2014-
15</t>
  </si>
  <si>
    <t>2015-
16</t>
  </si>
  <si>
    <t>2016-
17</t>
  </si>
  <si>
    <t>2017-
18</t>
  </si>
  <si>
    <t>2018-
19</t>
  </si>
  <si>
    <t>Année universitaire</t>
  </si>
  <si>
    <t>03 : Diplôme de plus haut niveau obtenu par les doctorants avant l’inscription en thèse</t>
  </si>
  <si>
    <t>en %</t>
  </si>
  <si>
    <t>Situation avant l'inscription en thèse</t>
  </si>
  <si>
    <t>Doctorants inscrits avec un diplôme français</t>
  </si>
  <si>
    <t xml:space="preserve">Diplôme national de Master </t>
  </si>
  <si>
    <t>Titre d'ingénieur</t>
  </si>
  <si>
    <t>Autre diplôme conférant le grade de Master, Diplôme d'école de commerce ou de gestion</t>
  </si>
  <si>
    <t>Doctorants inscrits avec un diplôme étranger</t>
  </si>
  <si>
    <t>Champ : France entière; tous types d'établissements.</t>
  </si>
  <si>
    <t>Rentrée universitaire 2018-19</t>
  </si>
  <si>
    <t xml:space="preserve">Source : MESRI-SIES (enquête sur les écoles doctorales, 2018-19).
</t>
  </si>
  <si>
    <t>Part dans les Cifre allouées</t>
  </si>
  <si>
    <t>Année civile</t>
  </si>
  <si>
    <t xml:space="preserve">Source : MESRI-SIES (enquête sur les écoles doctorales).
</t>
  </si>
  <si>
    <t>Au moment de la déclaration à l'enquête ED, le doctorant peut avoir fini par démarrer sa thèse sans savoir si son dossier Cifre a été accepté ; De plus, il y a un décalage temporel entre les deux indicateurs ,du fait du retard à l'instruction (30 % de Cifre datant de l'année précédente)</t>
  </si>
  <si>
    <t>Cifre allouées à des doctorantes</t>
  </si>
  <si>
    <t>Ensemble Ingénieurs</t>
  </si>
  <si>
    <t xml:space="preserve">NB : les dossiers acceptés aux comités de 2018 proviennent pour environ 30% de dossiers déposés en 2017. </t>
  </si>
  <si>
    <t>Ensemble Master, hors doubles inscriptions ingénieur</t>
  </si>
  <si>
    <t>Ensemble</t>
  </si>
  <si>
    <t>Ratio F/H</t>
  </si>
  <si>
    <t>Moyenne globale</t>
  </si>
  <si>
    <t>Effectifs des Cifre répartis par tranche</t>
  </si>
  <si>
    <t>Indicateurs</t>
  </si>
  <si>
    <t>Publications internationales de rang A (premier auteur), 
ou des brevets (co-inventeur)</t>
  </si>
  <si>
    <t>Communications dans des congrès internationaux</t>
  </si>
  <si>
    <t>Communications dans des congrès nationaux</t>
  </si>
  <si>
    <t>secteur 19</t>
  </si>
  <si>
    <t>Origine geo 19</t>
  </si>
  <si>
    <t>Répartition des 1433 Cifre acceptées en 2019, selon le secteur d'activité</t>
  </si>
  <si>
    <t>Origine géographique des doctorants Cifre acceptés en 2019</t>
  </si>
  <si>
    <t>Diplôme(s) antérieur(s) des doctorants Cifre acceptés en 2019</t>
  </si>
  <si>
    <t>Répartition des salaires annuels des doctorants Cifre acceptés en 2019</t>
  </si>
  <si>
    <t xml:space="preserve">Publications valorisant en 5 ans des Cifre terminées en 2011 et 2013 </t>
  </si>
  <si>
    <t>Moyenne hors CIFRE rémunérés au plancher (23484 €)</t>
  </si>
  <si>
    <t>Évolutions 2013-2019</t>
  </si>
  <si>
    <t>Moyenne hors CIFRE au plancher (23484 €)</t>
  </si>
  <si>
    <t>Salaires des doctorants  CIFRE acceptés</t>
  </si>
  <si>
    <t>07 : Salaires des doctorants CIFRE acceptés</t>
  </si>
  <si>
    <t>Médiane Hommes</t>
  </si>
  <si>
    <t>Médiane Femmes</t>
  </si>
  <si>
    <t>Part des CIFRE au plancher (23484 €)</t>
  </si>
  <si>
    <t xml:space="preserve">dont 1ères inscriptions - Cifre </t>
  </si>
  <si>
    <t>* : 1ères inscriptions intervenues entre septembre et mars d’une année universitaire donnée</t>
  </si>
  <si>
    <t>Nombre de 1ères inscriptions *</t>
  </si>
  <si>
    <t>Enquête 2017, fin de Cifre en 2011</t>
  </si>
  <si>
    <t>Enquête 2019, fin de Cifre en 2013</t>
  </si>
  <si>
    <t>Votre Cifre a-t-elle donné lieu à publication, en tant que :</t>
  </si>
  <si>
    <t>Tableaux ou graphiques repris dans la publication papier</t>
  </si>
  <si>
    <t>Vérification</t>
  </si>
  <si>
    <t>% femmes dans le domaine scientifique</t>
  </si>
  <si>
    <t>Données détaillées sur les femmes doctorants Cifre</t>
  </si>
  <si>
    <t>Cifre allouées a des femmes par domaine regroupé : effectifs</t>
  </si>
  <si>
    <t>Cifre allouées à des femmes par domaine regroupé : répartition</t>
  </si>
  <si>
    <t>% de femmes 1ères inscriptions doctorat 2017-2018</t>
  </si>
  <si>
    <t>Ecart CIFRE total doctorat</t>
  </si>
  <si>
    <t>Effectifs de femmes doctorants Cifre, par domaine scientifique</t>
  </si>
  <si>
    <t>Moyenne 2017-2018</t>
  </si>
  <si>
    <t>1ères inscriptions en doctorat, tous, rentrées 2017-2018 *</t>
  </si>
  <si>
    <t>Cifre allouées 2017-2018</t>
  </si>
  <si>
    <t xml:space="preserve">Données détaillées sur les femmes doctorants Cifre, par domaine scientifique </t>
  </si>
  <si>
    <t>Domaine sc fe</t>
  </si>
  <si>
    <t>% femmes Doctorants Cifre dans chaque domaine scientifique</t>
  </si>
  <si>
    <t>Voir intermédiaires de calcul au bas de l'onglet</t>
  </si>
  <si>
    <t>Répartition %</t>
  </si>
  <si>
    <t>% moyen 2012 2013</t>
  </si>
  <si>
    <t>Écart 2019</t>
  </si>
  <si>
    <t>04 : Répartition des Cifre acceptées en 2019, par secteur d'activité employeur</t>
  </si>
  <si>
    <t>G01</t>
  </si>
  <si>
    <t>G02</t>
  </si>
  <si>
    <t>G03</t>
  </si>
  <si>
    <t>T04</t>
  </si>
  <si>
    <t>T05</t>
  </si>
  <si>
    <t>T06</t>
  </si>
  <si>
    <t>T07</t>
  </si>
  <si>
    <t>T08</t>
  </si>
  <si>
    <t>G09</t>
  </si>
  <si>
    <t>MESRI-SIES, EES 2020</t>
  </si>
  <si>
    <r>
      <t xml:space="preserve">Publication biennale de l'Enseignement supérieur, de la Recherche et de l'Innovation [EES 2020]
</t>
    </r>
    <r>
      <rPr>
        <b/>
        <sz val="10"/>
        <rFont val="Arial"/>
        <family val="2"/>
      </rPr>
      <t>Pour plus d'information sur les notions et les sigles rencontrées, se reporter au rapport intégral.</t>
    </r>
  </si>
  <si>
    <t>Publications valorisant en 5 ans des Cifre terminées en 2011 et 2013</t>
  </si>
  <si>
    <t>Le dispositif Cifre a vocation à favoriser les échanges entre les laboratoires de recherche publique et les milieux socioéconomiques et à contribuer à l’emploi des docteurs par les entreprises. Les Cifre associent trois partenaires :
• un employeur, le plus souvent une entreprise , qui confie à un doctorant un travail de recherche, objet de sa thèse ;
• un laboratoire, extérieur à l’entreprise, qui assure l’encadrement scientifique du doctorant ;
• un doctorant, titulaire d’un diplôme conférant le grade de master.
L’employeur recrute en CDI ou CDD de 3 ans un jeune diplômé de grade master, avec un salaire brut minimum annuel de 23 484 € (1 957 € par mois), et lui confie des travaux de recherche, objet de sa thèse. Il reçoit de l’Association Nationale de la Recherche et de la Technologie (ANRT), qui gère les conventions Cifre pour le compte du ministère chargé de la recherche, une subvention annuelle de 14 000 € pendant 3 ans. Un contrat de collaboration est établi entre l’employeur et le laboratoire spécifiant les conditions de déroulement des recherches et les clauses de propriété des résultats obtenus par le doctorant. De plus, les travaux du doctorant sont éligibles au crédit d’impôt recherche (CIR) selon les mêmes critères que pour tout chercheur travaillant dans la structure employeuse.
Le dispositif Cifre existe depuis 1981. En près de 40 ans, il a bénéficié à plus de 31 000 doctorants.</t>
  </si>
  <si>
    <t>05 : Origine géographique des doctorants Cifre acceptés</t>
  </si>
  <si>
    <t>Évolution du nombre total de premières inscriptions en doctorat</t>
  </si>
  <si>
    <t>Évolutions 2013-2019, en pt</t>
  </si>
  <si>
    <t>Intermédiaires de calcul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</si>
</sst>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0\ &quot;€&quot;;[Red]\-#,##0\ &quot;€&quot;"/>
    <numFmt numFmtId="164" formatCode="0.0%"/>
    <numFmt numFmtId="165" formatCode="0.0"/>
    <numFmt numFmtId="166" formatCode="#,##0.0"/>
  </numFmts>
  <fonts count="57" x14ac:knownFonts="1">
    <font>
      <sz val="10"/>
      <name val="Arial"/>
    </font>
    <font>
      <sz val="11"/>
      <color theme="1"/>
      <name val="Calibri"/>
      <family val="2"/>
      <scheme val="minor"/>
    </font>
    <font>
      <sz val="10"/>
      <name val="Arial"/>
      <family val="2"/>
    </font>
    <font>
      <sz val="10"/>
      <name val="Arial"/>
      <family val="2"/>
    </font>
    <font>
      <sz val="10"/>
      <color indexed="8"/>
      <name val="Arial"/>
      <family val="2"/>
    </font>
    <font>
      <sz val="10"/>
      <name val="Arial"/>
      <family val="2"/>
    </font>
    <font>
      <b/>
      <sz val="10"/>
      <name val="Arial"/>
      <family val="2"/>
    </font>
    <font>
      <sz val="11"/>
      <color indexed="8"/>
      <name val="Calibri"/>
      <family val="2"/>
    </font>
    <font>
      <b/>
      <i/>
      <sz val="10"/>
      <name val="Arial"/>
      <family val="2"/>
    </font>
    <font>
      <sz val="10"/>
      <color indexed="8"/>
      <name val="Arial"/>
      <family val="2"/>
    </font>
    <font>
      <b/>
      <sz val="9"/>
      <name val="Arial"/>
      <family val="2"/>
    </font>
    <font>
      <sz val="9"/>
      <name val="Arial"/>
      <family val="2"/>
    </font>
    <font>
      <b/>
      <sz val="11"/>
      <color indexed="8"/>
      <name val="Arial"/>
      <family val="2"/>
    </font>
    <font>
      <sz val="11"/>
      <color indexed="8"/>
      <name val="Arial"/>
      <family val="2"/>
    </font>
    <font>
      <b/>
      <sz val="8"/>
      <color indexed="81"/>
      <name val="Tahoma"/>
      <family val="2"/>
    </font>
    <font>
      <b/>
      <sz val="11"/>
      <name val="Calibri"/>
      <family val="2"/>
    </font>
    <font>
      <sz val="11"/>
      <color theme="1"/>
      <name val="Calibri"/>
      <family val="2"/>
      <scheme val="minor"/>
    </font>
    <font>
      <sz val="10"/>
      <color theme="1"/>
      <name val="Arial"/>
      <family val="2"/>
    </font>
    <font>
      <b/>
      <sz val="9"/>
      <color theme="1"/>
      <name val="Arial"/>
      <family val="2"/>
    </font>
    <font>
      <sz val="10"/>
      <color rgb="FF000000"/>
      <name val="Arial"/>
      <family val="2"/>
    </font>
    <font>
      <b/>
      <sz val="10"/>
      <color rgb="FF000000"/>
      <name val="Arial"/>
      <family val="2"/>
    </font>
    <font>
      <sz val="10"/>
      <name val="MS Sans Serif"/>
      <family val="2"/>
    </font>
    <font>
      <i/>
      <sz val="10"/>
      <name val="Arial"/>
      <family val="2"/>
    </font>
    <font>
      <b/>
      <sz val="11"/>
      <name val="Arial"/>
      <family val="2"/>
    </font>
    <font>
      <b/>
      <sz val="12"/>
      <color rgb="FF000000"/>
      <name val="Arial"/>
      <family val="2"/>
    </font>
    <font>
      <b/>
      <sz val="10"/>
      <color theme="0"/>
      <name val="Arial"/>
      <family val="2"/>
    </font>
    <font>
      <b/>
      <sz val="9"/>
      <color rgb="FF000000"/>
      <name val="Arial"/>
      <family val="2"/>
    </font>
    <font>
      <sz val="8"/>
      <color rgb="FF000000"/>
      <name val="Arial"/>
      <family val="2"/>
    </font>
    <font>
      <sz val="8"/>
      <name val="Arial"/>
      <family val="2"/>
    </font>
    <font>
      <b/>
      <sz val="8"/>
      <name val="Arial"/>
      <family val="2"/>
    </font>
    <font>
      <b/>
      <sz val="9"/>
      <color indexed="8"/>
      <name val="Arial"/>
      <family val="2"/>
    </font>
    <font>
      <sz val="9"/>
      <color indexed="8"/>
      <name val="Arial"/>
      <family val="2"/>
    </font>
    <font>
      <sz val="9"/>
      <color theme="1"/>
      <name val="Arial"/>
      <family val="2"/>
    </font>
    <font>
      <b/>
      <sz val="9.8000000000000007"/>
      <color rgb="FF000000"/>
      <name val="Arial"/>
      <family val="2"/>
    </font>
    <font>
      <i/>
      <sz val="8"/>
      <color rgb="FF000000"/>
      <name val="Arial"/>
      <family val="2"/>
    </font>
    <font>
      <b/>
      <sz val="10"/>
      <color indexed="8"/>
      <name val="Arial"/>
      <family val="2"/>
    </font>
    <font>
      <sz val="9"/>
      <color indexed="8"/>
      <name val="Tahoma"/>
      <family val="2"/>
    </font>
    <font>
      <u/>
      <sz val="10"/>
      <color theme="10"/>
      <name val="Arial"/>
      <family val="2"/>
    </font>
    <font>
      <i/>
      <sz val="9"/>
      <name val="Arial"/>
      <family val="2"/>
    </font>
    <font>
      <b/>
      <i/>
      <sz val="9"/>
      <name val="Arial"/>
      <family val="2"/>
    </font>
    <font>
      <i/>
      <sz val="9"/>
      <color indexed="8"/>
      <name val="Arial"/>
      <family val="2"/>
    </font>
    <font>
      <i/>
      <sz val="9"/>
      <color indexed="8"/>
      <name val="Tahoma"/>
      <family val="2"/>
    </font>
    <font>
      <u/>
      <sz val="8"/>
      <color theme="10"/>
      <name val="Arial"/>
      <family val="2"/>
    </font>
    <font>
      <sz val="8"/>
      <color theme="1"/>
      <name val="Arial"/>
      <family val="2"/>
    </font>
    <font>
      <sz val="10"/>
      <color indexed="8"/>
      <name val="Tahoma"/>
      <family val="2"/>
    </font>
    <font>
      <sz val="8"/>
      <name val="Arial"/>
      <family val="2"/>
    </font>
    <font>
      <b/>
      <sz val="10"/>
      <color theme="1"/>
      <name val="Arial"/>
      <family val="2"/>
    </font>
    <font>
      <i/>
      <sz val="10"/>
      <color theme="1"/>
      <name val="Arial"/>
      <family val="2"/>
    </font>
    <font>
      <i/>
      <sz val="9"/>
      <color theme="1"/>
      <name val="Arial"/>
      <family val="2"/>
    </font>
    <font>
      <i/>
      <sz val="8"/>
      <name val="Arial"/>
      <family val="2"/>
    </font>
    <font>
      <sz val="9"/>
      <color rgb="FF000000"/>
      <name val="Arial"/>
      <family val="2"/>
    </font>
    <font>
      <b/>
      <sz val="12"/>
      <name val="Arial"/>
      <family val="2"/>
    </font>
    <font>
      <i/>
      <sz val="9"/>
      <color theme="1" tint="0.249977111117893"/>
      <name val="Arial"/>
      <family val="2"/>
    </font>
    <font>
      <i/>
      <sz val="10"/>
      <color rgb="FF000000"/>
      <name val="Arial"/>
      <family val="2"/>
    </font>
    <font>
      <sz val="11"/>
      <color rgb="FF000000"/>
      <name val="Calibri"/>
      <family val="2"/>
      <scheme val="minor"/>
    </font>
    <font>
      <b/>
      <sz val="14"/>
      <color rgb="FF000000"/>
      <name val="Calibri"/>
      <family val="2"/>
      <scheme val="minor"/>
    </font>
    <font>
      <b/>
      <sz val="11"/>
      <color theme="1"/>
      <name val="Calibri"/>
      <family val="2"/>
      <scheme val="minor"/>
    </font>
  </fonts>
  <fills count="17">
    <fill>
      <patternFill patternType="none"/>
    </fill>
    <fill>
      <patternFill patternType="gray125"/>
    </fill>
    <fill>
      <patternFill patternType="solid">
        <fgColor rgb="FFFFFFCC"/>
      </patternFill>
    </fill>
    <fill>
      <patternFill patternType="solid">
        <fgColor theme="0" tint="-0.14999847407452621"/>
        <bgColor indexed="64"/>
      </patternFill>
    </fill>
    <fill>
      <patternFill patternType="solid">
        <fgColor theme="5" tint="0.59999389629810485"/>
        <bgColor indexed="64"/>
      </patternFill>
    </fill>
    <fill>
      <patternFill patternType="solid">
        <fgColor theme="0"/>
        <bgColor indexed="64"/>
      </patternFill>
    </fill>
    <fill>
      <patternFill patternType="solid">
        <fgColor theme="4"/>
        <bgColor indexed="64"/>
      </patternFill>
    </fill>
    <fill>
      <patternFill patternType="solid">
        <fgColor theme="0"/>
        <bgColor indexed="0"/>
      </patternFill>
    </fill>
    <fill>
      <patternFill patternType="solid">
        <fgColor them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FFCCFF"/>
        <bgColor indexed="64"/>
      </patternFill>
    </fill>
    <fill>
      <patternFill patternType="solid">
        <fgColor theme="2" tint="-0.249977111117893"/>
        <bgColor indexed="64"/>
      </patternFill>
    </fill>
    <fill>
      <patternFill patternType="solid">
        <fgColor rgb="FFFFFF00"/>
        <bgColor indexed="64"/>
      </patternFill>
    </fill>
    <fill>
      <patternFill patternType="solid">
        <fgColor theme="0"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9">
    <xf numFmtId="0" fontId="0" fillId="0" borderId="0"/>
    <xf numFmtId="0" fontId="7" fillId="2" borderId="7" applyNumberFormat="0" applyFont="0" applyAlignment="0" applyProtection="0"/>
    <xf numFmtId="0" fontId="5" fillId="0" borderId="0"/>
    <xf numFmtId="0" fontId="16" fillId="0" borderId="0"/>
    <xf numFmtId="0" fontId="17" fillId="0" borderId="0"/>
    <xf numFmtId="0" fontId="3" fillId="0" borderId="0"/>
    <xf numFmtId="0" fontId="16" fillId="0" borderId="0" applyProtection="0"/>
    <xf numFmtId="0" fontId="9" fillId="0" borderId="0"/>
    <xf numFmtId="0" fontId="4" fillId="0" borderId="0"/>
    <xf numFmtId="9" fontId="2" fillId="0" borderId="0" applyFont="0" applyFill="0" applyBorder="0" applyAlignment="0" applyProtection="0"/>
    <xf numFmtId="9" fontId="3" fillId="0" borderId="0" applyFont="0" applyFill="0" applyBorder="0" applyAlignment="0" applyProtection="0"/>
    <xf numFmtId="9" fontId="7" fillId="0" borderId="0" applyFont="0" applyFill="0" applyBorder="0" applyAlignment="0" applyProtection="0"/>
    <xf numFmtId="0" fontId="3" fillId="0" borderId="0"/>
    <xf numFmtId="0" fontId="21" fillId="0" borderId="0"/>
    <xf numFmtId="0" fontId="4" fillId="0" borderId="0"/>
    <xf numFmtId="0" fontId="2" fillId="0" borderId="0"/>
    <xf numFmtId="0" fontId="2" fillId="0" borderId="0"/>
    <xf numFmtId="0" fontId="37" fillId="0" borderId="0" applyNumberFormat="0" applyFill="0" applyBorder="0" applyAlignment="0" applyProtection="0"/>
    <xf numFmtId="0" fontId="2" fillId="0" borderId="0"/>
  </cellStyleXfs>
  <cellXfs count="517">
    <xf numFmtId="0" fontId="0" fillId="0" borderId="0" xfId="0"/>
    <xf numFmtId="0" fontId="0" fillId="0" borderId="0" xfId="0" applyAlignment="1"/>
    <xf numFmtId="164" fontId="0" fillId="0" borderId="0" xfId="0" applyNumberFormat="1" applyAlignment="1"/>
    <xf numFmtId="9" fontId="0" fillId="0" borderId="1" xfId="0" applyNumberFormat="1" applyBorder="1"/>
    <xf numFmtId="9" fontId="0" fillId="0" borderId="0" xfId="0" applyNumberFormat="1"/>
    <xf numFmtId="0" fontId="20" fillId="0" borderId="0" xfId="0" applyFont="1" applyAlignment="1">
      <alignment horizontal="left" vertical="center" readingOrder="1"/>
    </xf>
    <xf numFmtId="0" fontId="6" fillId="0" borderId="0" xfId="0" applyFont="1"/>
    <xf numFmtId="0" fontId="0" fillId="0" borderId="0" xfId="0" applyBorder="1"/>
    <xf numFmtId="0" fontId="12" fillId="0" borderId="0" xfId="6" applyFont="1"/>
    <xf numFmtId="0" fontId="13" fillId="0" borderId="0" xfId="6" applyFont="1"/>
    <xf numFmtId="0" fontId="16" fillId="0" borderId="0" xfId="3"/>
    <xf numFmtId="0" fontId="0" fillId="5" borderId="0" xfId="0" applyFill="1" applyBorder="1" applyAlignment="1"/>
    <xf numFmtId="49" fontId="2" fillId="0" borderId="0" xfId="13" applyNumberFormat="1" applyFont="1"/>
    <xf numFmtId="49" fontId="2" fillId="0" borderId="0" xfId="13" applyNumberFormat="1" applyFont="1" applyAlignment="1">
      <alignment wrapText="1"/>
    </xf>
    <xf numFmtId="49" fontId="27" fillId="0" borderId="0" xfId="13" applyNumberFormat="1" applyFont="1" applyAlignment="1">
      <alignment horizontal="justify" vertical="center"/>
    </xf>
    <xf numFmtId="49" fontId="28" fillId="0" borderId="0" xfId="13" applyNumberFormat="1" applyFont="1"/>
    <xf numFmtId="49" fontId="28" fillId="0" borderId="0" xfId="13" applyNumberFormat="1" applyFont="1" applyAlignment="1">
      <alignment horizontal="center" wrapText="1"/>
    </xf>
    <xf numFmtId="0" fontId="2" fillId="0" borderId="0" xfId="0" applyFont="1"/>
    <xf numFmtId="9" fontId="0" fillId="5" borderId="0" xfId="0" applyNumberFormat="1" applyFill="1" applyBorder="1" applyAlignment="1">
      <alignment horizontal="center"/>
    </xf>
    <xf numFmtId="164" fontId="0" fillId="5" borderId="0" xfId="10" applyNumberFormat="1" applyFont="1" applyFill="1" applyBorder="1" applyAlignment="1"/>
    <xf numFmtId="164" fontId="2" fillId="5" borderId="0" xfId="10" applyNumberFormat="1" applyFont="1" applyFill="1" applyBorder="1" applyAlignment="1"/>
    <xf numFmtId="9" fontId="0" fillId="5" borderId="0" xfId="10" applyFont="1" applyFill="1" applyBorder="1" applyAlignment="1"/>
    <xf numFmtId="165" fontId="0" fillId="0" borderId="0" xfId="0" applyNumberFormat="1"/>
    <xf numFmtId="164" fontId="0" fillId="0" borderId="0" xfId="0" applyNumberFormat="1" applyBorder="1"/>
    <xf numFmtId="0" fontId="8" fillId="0" borderId="0" xfId="0" applyFont="1" applyBorder="1"/>
    <xf numFmtId="0" fontId="0" fillId="0" borderId="6" xfId="0" applyBorder="1"/>
    <xf numFmtId="0" fontId="15" fillId="0" borderId="0" xfId="0" applyFont="1" applyAlignment="1">
      <alignment vertical="center" wrapText="1"/>
    </xf>
    <xf numFmtId="0" fontId="0" fillId="5" borderId="0" xfId="0" applyFill="1"/>
    <xf numFmtId="0" fontId="6" fillId="5" borderId="0" xfId="0" applyFont="1" applyFill="1"/>
    <xf numFmtId="9" fontId="0" fillId="5" borderId="0" xfId="9" applyFont="1" applyFill="1"/>
    <xf numFmtId="10" fontId="0" fillId="5" borderId="0" xfId="9" applyNumberFormat="1" applyFont="1" applyFill="1"/>
    <xf numFmtId="0" fontId="2" fillId="5" borderId="0" xfId="0" applyFont="1" applyFill="1"/>
    <xf numFmtId="3" fontId="31" fillId="0" borderId="10" xfId="6" applyNumberFormat="1" applyFont="1" applyBorder="1" applyAlignment="1">
      <alignment horizontal="right"/>
    </xf>
    <xf numFmtId="3" fontId="31" fillId="0" borderId="10" xfId="6" applyNumberFormat="1" applyFont="1" applyFill="1" applyBorder="1" applyAlignment="1">
      <alignment horizontal="right"/>
    </xf>
    <xf numFmtId="0" fontId="10" fillId="3" borderId="1" xfId="2" applyFont="1" applyFill="1" applyBorder="1" applyAlignment="1">
      <alignment horizontal="left" vertical="center" readingOrder="1"/>
    </xf>
    <xf numFmtId="0" fontId="10" fillId="3" borderId="1" xfId="2" applyFont="1" applyFill="1" applyBorder="1" applyAlignment="1">
      <alignment horizontal="center" vertical="center"/>
    </xf>
    <xf numFmtId="0" fontId="10" fillId="3" borderId="1" xfId="0" applyFont="1" applyFill="1" applyBorder="1" applyAlignment="1">
      <alignment horizontal="center" vertical="center"/>
    </xf>
    <xf numFmtId="0" fontId="11" fillId="0" borderId="1" xfId="2" applyFont="1" applyBorder="1"/>
    <xf numFmtId="0" fontId="11" fillId="0" borderId="1" xfId="0" applyFont="1" applyBorder="1"/>
    <xf numFmtId="0" fontId="10" fillId="0" borderId="1" xfId="0" applyFont="1" applyBorder="1"/>
    <xf numFmtId="0" fontId="6" fillId="0" borderId="8" xfId="0" applyFont="1" applyBorder="1" applyAlignment="1"/>
    <xf numFmtId="9" fontId="0" fillId="0" borderId="1" xfId="9" applyFont="1" applyBorder="1"/>
    <xf numFmtId="0" fontId="11" fillId="5" borderId="1" xfId="0" applyFont="1" applyFill="1" applyBorder="1"/>
    <xf numFmtId="9" fontId="11" fillId="0" borderId="1" xfId="9" applyFont="1" applyBorder="1"/>
    <xf numFmtId="165" fontId="36" fillId="5" borderId="0" xfId="0" applyNumberFormat="1" applyFont="1" applyFill="1" applyBorder="1" applyAlignment="1" applyProtection="1">
      <alignment vertical="top" wrapText="1" readingOrder="1"/>
      <protection locked="0"/>
    </xf>
    <xf numFmtId="0" fontId="11" fillId="0" borderId="0" xfId="0" applyFont="1" applyBorder="1"/>
    <xf numFmtId="165" fontId="11" fillId="0" borderId="0" xfId="0" applyNumberFormat="1" applyFont="1" applyBorder="1"/>
    <xf numFmtId="0" fontId="0" fillId="0" borderId="8" xfId="0" applyBorder="1"/>
    <xf numFmtId="0" fontId="10" fillId="3" borderId="1" xfId="0" applyFont="1" applyFill="1" applyBorder="1" applyAlignment="1">
      <alignment horizontal="center" vertical="center" wrapText="1"/>
    </xf>
    <xf numFmtId="9" fontId="11" fillId="0" borderId="1" xfId="0" applyNumberFormat="1" applyFont="1" applyBorder="1"/>
    <xf numFmtId="0" fontId="36" fillId="5" borderId="2" xfId="0" applyFont="1" applyFill="1" applyBorder="1" applyAlignment="1" applyProtection="1">
      <alignment vertical="top" wrapText="1" readingOrder="1"/>
      <protection locked="0"/>
    </xf>
    <xf numFmtId="0" fontId="11" fillId="0" borderId="13" xfId="0" applyFont="1" applyBorder="1"/>
    <xf numFmtId="0" fontId="11" fillId="0" borderId="5" xfId="0" applyFont="1" applyBorder="1"/>
    <xf numFmtId="9" fontId="10" fillId="3" borderId="1" xfId="0" quotePrefix="1" applyNumberFormat="1" applyFont="1" applyFill="1" applyBorder="1" applyAlignment="1">
      <alignment horizontal="center" vertical="center"/>
    </xf>
    <xf numFmtId="0" fontId="11" fillId="5" borderId="1" xfId="0" applyFont="1" applyFill="1" applyBorder="1" applyAlignment="1">
      <alignment wrapText="1"/>
    </xf>
    <xf numFmtId="9" fontId="11" fillId="5" borderId="1" xfId="9" applyFont="1" applyFill="1" applyBorder="1"/>
    <xf numFmtId="0" fontId="11" fillId="5" borderId="1" xfId="0" applyFont="1" applyFill="1" applyBorder="1" applyAlignment="1">
      <alignment horizontal="left" vertical="center" wrapText="1"/>
    </xf>
    <xf numFmtId="0" fontId="11" fillId="5" borderId="1" xfId="2" applyFont="1" applyFill="1" applyBorder="1"/>
    <xf numFmtId="0" fontId="10" fillId="3" borderId="1" xfId="2" applyFont="1" applyFill="1" applyBorder="1" applyAlignment="1">
      <alignment horizontal="center" vertical="center" wrapText="1"/>
    </xf>
    <xf numFmtId="0" fontId="10" fillId="0" borderId="1" xfId="0" applyFont="1" applyBorder="1" applyAlignment="1"/>
    <xf numFmtId="0" fontId="10" fillId="0" borderId="1" xfId="2" applyFont="1" applyBorder="1"/>
    <xf numFmtId="9" fontId="10" fillId="0" borderId="1" xfId="11" applyFont="1" applyBorder="1"/>
    <xf numFmtId="9" fontId="10" fillId="0" borderId="1" xfId="10" applyFont="1" applyBorder="1" applyAlignment="1"/>
    <xf numFmtId="0" fontId="28" fillId="0" borderId="0" xfId="0" applyFont="1"/>
    <xf numFmtId="0" fontId="10" fillId="3" borderId="1" xfId="0" applyFont="1" applyFill="1" applyBorder="1"/>
    <xf numFmtId="0" fontId="30" fillId="3" borderId="1" xfId="6" applyFont="1" applyFill="1" applyBorder="1" applyAlignment="1">
      <alignment horizontal="center" vertical="center" wrapText="1"/>
    </xf>
    <xf numFmtId="0" fontId="33" fillId="0" borderId="8" xfId="0" applyFont="1" applyBorder="1" applyAlignment="1">
      <alignment vertical="center" readingOrder="1"/>
    </xf>
    <xf numFmtId="0" fontId="10" fillId="0" borderId="0" xfId="0" applyFont="1" applyBorder="1" applyAlignment="1">
      <alignment horizontal="right" vertical="center"/>
    </xf>
    <xf numFmtId="9" fontId="10" fillId="5" borderId="0" xfId="9" applyFont="1" applyFill="1" applyBorder="1" applyAlignment="1">
      <alignment horizontal="right" vertical="center"/>
    </xf>
    <xf numFmtId="9" fontId="10" fillId="5" borderId="0" xfId="9" applyFont="1" applyFill="1" applyBorder="1"/>
    <xf numFmtId="0" fontId="10" fillId="0" borderId="0" xfId="0" applyFont="1" applyBorder="1"/>
    <xf numFmtId="164" fontId="10" fillId="0" borderId="0" xfId="0" applyNumberFormat="1" applyFont="1" applyBorder="1"/>
    <xf numFmtId="0" fontId="31" fillId="0" borderId="1" xfId="7" applyFont="1" applyFill="1" applyBorder="1" applyAlignment="1"/>
    <xf numFmtId="0" fontId="31" fillId="0" borderId="1" xfId="8" applyFont="1" applyFill="1" applyBorder="1" applyAlignment="1">
      <alignment horizontal="right"/>
    </xf>
    <xf numFmtId="9" fontId="31" fillId="0" borderId="1" xfId="9" applyFont="1" applyFill="1" applyBorder="1" applyAlignment="1">
      <alignment horizontal="right"/>
    </xf>
    <xf numFmtId="9" fontId="31" fillId="0" borderId="1" xfId="8" applyNumberFormat="1" applyFont="1" applyFill="1" applyBorder="1" applyAlignment="1">
      <alignment horizontal="right"/>
    </xf>
    <xf numFmtId="0" fontId="31" fillId="0" borderId="1" xfId="7" applyFont="1" applyFill="1" applyBorder="1" applyAlignment="1">
      <alignment horizontal="right"/>
    </xf>
    <xf numFmtId="9" fontId="30" fillId="0" borderId="1" xfId="9" applyFont="1" applyFill="1" applyBorder="1" applyAlignment="1">
      <alignment horizontal="right"/>
    </xf>
    <xf numFmtId="0" fontId="11" fillId="5" borderId="1" xfId="0" applyFont="1" applyFill="1" applyBorder="1" applyAlignment="1">
      <alignment horizontal="center" vertical="center" wrapText="1"/>
    </xf>
    <xf numFmtId="9" fontId="11" fillId="5" borderId="1" xfId="0" applyNumberFormat="1" applyFont="1" applyFill="1" applyBorder="1" applyAlignment="1">
      <alignment horizontal="center" vertical="center"/>
    </xf>
    <xf numFmtId="0" fontId="11" fillId="0" borderId="1" xfId="0" applyFont="1" applyBorder="1" applyAlignment="1"/>
    <xf numFmtId="0" fontId="36" fillId="5" borderId="1" xfId="0" applyFont="1" applyFill="1" applyBorder="1" applyAlignment="1" applyProtection="1">
      <alignment vertical="center" wrapText="1" readingOrder="1"/>
      <protection locked="0"/>
    </xf>
    <xf numFmtId="0" fontId="11" fillId="5" borderId="1" xfId="0" applyFont="1" applyFill="1" applyBorder="1" applyAlignment="1"/>
    <xf numFmtId="0" fontId="10" fillId="0" borderId="0" xfId="0" applyFont="1" applyBorder="1" applyAlignment="1"/>
    <xf numFmtId="0" fontId="10" fillId="3" borderId="5" xfId="0" applyFont="1" applyFill="1" applyBorder="1" applyAlignment="1">
      <alignment horizontal="center" vertical="center" wrapText="1"/>
    </xf>
    <xf numFmtId="0" fontId="11" fillId="5" borderId="1" xfId="0" applyFont="1" applyFill="1" applyBorder="1" applyAlignment="1">
      <alignment horizontal="right"/>
    </xf>
    <xf numFmtId="0" fontId="11" fillId="0" borderId="1" xfId="0" applyFont="1" applyBorder="1" applyAlignment="1">
      <alignment horizontal="right"/>
    </xf>
    <xf numFmtId="9" fontId="11" fillId="5" borderId="1" xfId="9" applyFont="1" applyFill="1" applyBorder="1" applyAlignment="1">
      <alignment horizontal="right"/>
    </xf>
    <xf numFmtId="0" fontId="36" fillId="5" borderId="1" xfId="0" applyFont="1" applyFill="1" applyBorder="1" applyAlignment="1" applyProtection="1">
      <alignment horizontal="right" wrapText="1" readingOrder="1"/>
      <protection locked="0"/>
    </xf>
    <xf numFmtId="0" fontId="32" fillId="0" borderId="1" xfId="2" applyFont="1" applyBorder="1" applyAlignment="1">
      <alignment wrapText="1" readingOrder="1"/>
    </xf>
    <xf numFmtId="0" fontId="36" fillId="5" borderId="1" xfId="0" applyFont="1" applyFill="1" applyBorder="1" applyAlignment="1" applyProtection="1">
      <alignment wrapText="1"/>
      <protection locked="0"/>
    </xf>
    <xf numFmtId="0" fontId="10" fillId="3" borderId="1" xfId="0" applyFont="1" applyFill="1" applyBorder="1" applyAlignment="1">
      <alignment horizontal="left" vertical="center"/>
    </xf>
    <xf numFmtId="0" fontId="31" fillId="5" borderId="1" xfId="0" applyFont="1" applyFill="1" applyBorder="1" applyAlignment="1" applyProtection="1">
      <alignment vertical="top" wrapText="1"/>
      <protection locked="0"/>
    </xf>
    <xf numFmtId="0" fontId="6" fillId="0" borderId="0" xfId="0" applyFont="1" applyBorder="1" applyAlignment="1"/>
    <xf numFmtId="0" fontId="2" fillId="0" borderId="0" xfId="0" applyFont="1" applyBorder="1"/>
    <xf numFmtId="0" fontId="10" fillId="0" borderId="9" xfId="0" applyFont="1" applyBorder="1"/>
    <xf numFmtId="0" fontId="10" fillId="0" borderId="8" xfId="0" applyFont="1" applyBorder="1" applyAlignment="1">
      <alignment horizontal="right"/>
    </xf>
    <xf numFmtId="0" fontId="10" fillId="0" borderId="9" xfId="0" applyFont="1" applyBorder="1" applyAlignment="1">
      <alignment horizontal="right"/>
    </xf>
    <xf numFmtId="0" fontId="11" fillId="5" borderId="15" xfId="2" applyFont="1" applyFill="1" applyBorder="1"/>
    <xf numFmtId="0" fontId="18" fillId="0" borderId="9" xfId="2" applyFont="1" applyBorder="1" applyAlignment="1">
      <alignment readingOrder="1"/>
    </xf>
    <xf numFmtId="0" fontId="32" fillId="0" borderId="15" xfId="2" applyFont="1" applyBorder="1" applyAlignment="1">
      <alignment wrapText="1" readingOrder="1"/>
    </xf>
    <xf numFmtId="0" fontId="11" fillId="0" borderId="15" xfId="2" applyFont="1" applyBorder="1"/>
    <xf numFmtId="0" fontId="11" fillId="0" borderId="15" xfId="0" applyFont="1" applyBorder="1"/>
    <xf numFmtId="9" fontId="10" fillId="0" borderId="9" xfId="0" applyNumberFormat="1" applyFont="1" applyBorder="1"/>
    <xf numFmtId="9" fontId="10" fillId="0" borderId="9" xfId="9" applyFont="1" applyBorder="1"/>
    <xf numFmtId="9" fontId="11" fillId="0" borderId="15" xfId="9" applyFont="1" applyBorder="1"/>
    <xf numFmtId="9" fontId="6" fillId="0" borderId="9" xfId="0" applyNumberFormat="1" applyFont="1" applyBorder="1"/>
    <xf numFmtId="9" fontId="0" fillId="0" borderId="15" xfId="9" applyFont="1" applyBorder="1"/>
    <xf numFmtId="9" fontId="0" fillId="0" borderId="15" xfId="0" applyNumberFormat="1" applyBorder="1"/>
    <xf numFmtId="0" fontId="10" fillId="0" borderId="9" xfId="0" applyFont="1" applyBorder="1" applyAlignment="1"/>
    <xf numFmtId="0" fontId="11" fillId="5" borderId="15" xfId="0" applyFont="1" applyFill="1" applyBorder="1" applyAlignment="1">
      <alignment wrapText="1"/>
    </xf>
    <xf numFmtId="0" fontId="11" fillId="5" borderId="15" xfId="0" applyFont="1" applyFill="1" applyBorder="1" applyAlignment="1"/>
    <xf numFmtId="0" fontId="11" fillId="0" borderId="15" xfId="0" applyFont="1" applyBorder="1" applyAlignment="1"/>
    <xf numFmtId="0" fontId="11" fillId="5" borderId="15" xfId="0" applyFont="1" applyFill="1" applyBorder="1" applyAlignment="1">
      <alignment horizontal="right"/>
    </xf>
    <xf numFmtId="9" fontId="11" fillId="5" borderId="15" xfId="9" applyFont="1" applyFill="1" applyBorder="1" applyAlignment="1">
      <alignment horizontal="right"/>
    </xf>
    <xf numFmtId="9" fontId="10" fillId="5" borderId="9" xfId="9" applyFont="1" applyFill="1" applyBorder="1"/>
    <xf numFmtId="9" fontId="11" fillId="5" borderId="15" xfId="9" applyFont="1" applyFill="1" applyBorder="1"/>
    <xf numFmtId="0" fontId="16" fillId="0" borderId="0" xfId="3" applyBorder="1"/>
    <xf numFmtId="0" fontId="11" fillId="5" borderId="1" xfId="2" applyFont="1" applyFill="1" applyBorder="1" applyAlignment="1">
      <alignment horizontal="right"/>
    </xf>
    <xf numFmtId="0" fontId="11" fillId="5" borderId="15" xfId="2" applyFont="1" applyFill="1" applyBorder="1" applyAlignment="1">
      <alignment horizontal="right"/>
    </xf>
    <xf numFmtId="0" fontId="38" fillId="0" borderId="1" xfId="0" applyFont="1" applyBorder="1" applyAlignment="1">
      <alignment wrapText="1"/>
    </xf>
    <xf numFmtId="9" fontId="11" fillId="0" borderId="1" xfId="11" applyNumberFormat="1" applyFont="1" applyBorder="1"/>
    <xf numFmtId="9" fontId="38" fillId="0" borderId="1" xfId="9" applyFont="1" applyBorder="1" applyAlignment="1"/>
    <xf numFmtId="0" fontId="40" fillId="5" borderId="1" xfId="0" applyFont="1" applyFill="1" applyBorder="1" applyAlignment="1" applyProtection="1">
      <alignment horizontal="left" vertical="top" wrapText="1" readingOrder="1"/>
      <protection locked="0"/>
    </xf>
    <xf numFmtId="165" fontId="41" fillId="5" borderId="1" xfId="0" applyNumberFormat="1" applyFont="1" applyFill="1" applyBorder="1" applyAlignment="1" applyProtection="1">
      <alignment wrapText="1"/>
      <protection locked="0"/>
    </xf>
    <xf numFmtId="0" fontId="38" fillId="0" borderId="2" xfId="0" applyFont="1" applyBorder="1" applyAlignment="1"/>
    <xf numFmtId="165" fontId="38" fillId="0" borderId="5" xfId="0" applyNumberFormat="1" applyFont="1" applyBorder="1" applyAlignment="1"/>
    <xf numFmtId="0" fontId="39" fillId="3" borderId="1" xfId="0" applyFont="1" applyFill="1" applyBorder="1" applyAlignment="1">
      <alignment horizontal="center" vertical="center" wrapText="1"/>
    </xf>
    <xf numFmtId="0" fontId="26" fillId="3" borderId="4" xfId="0" applyFont="1" applyFill="1" applyBorder="1" applyAlignment="1">
      <alignment vertical="center" readingOrder="1"/>
    </xf>
    <xf numFmtId="9" fontId="10" fillId="0" borderId="9" xfId="9" applyFont="1" applyBorder="1" applyAlignment="1">
      <alignment horizontal="right"/>
    </xf>
    <xf numFmtId="0" fontId="19" fillId="0" borderId="0" xfId="16" applyFont="1" applyAlignment="1"/>
    <xf numFmtId="0" fontId="6" fillId="3" borderId="1" xfId="0" applyFont="1" applyFill="1" applyBorder="1" applyAlignment="1">
      <alignment vertical="center"/>
    </xf>
    <xf numFmtId="0" fontId="0" fillId="3" borderId="1" xfId="0" applyFill="1" applyBorder="1"/>
    <xf numFmtId="164" fontId="11" fillId="0" borderId="1" xfId="9" applyNumberFormat="1" applyFont="1" applyBorder="1"/>
    <xf numFmtId="164" fontId="11" fillId="0" borderId="15" xfId="9" applyNumberFormat="1" applyFont="1" applyBorder="1"/>
    <xf numFmtId="164" fontId="10" fillId="0" borderId="9" xfId="9" applyNumberFormat="1" applyFont="1" applyBorder="1"/>
    <xf numFmtId="9" fontId="6" fillId="0" borderId="0" xfId="0" applyNumberFormat="1" applyFont="1" applyBorder="1"/>
    <xf numFmtId="0" fontId="34" fillId="0" borderId="0" xfId="0" applyFont="1" applyAlignment="1">
      <alignment horizontal="left" vertical="center" readingOrder="1"/>
    </xf>
    <xf numFmtId="0" fontId="10" fillId="5" borderId="0" xfId="0" applyFont="1" applyFill="1" applyBorder="1" applyAlignment="1"/>
    <xf numFmtId="9" fontId="30" fillId="0" borderId="1" xfId="8" applyNumberFormat="1" applyFont="1" applyFill="1" applyBorder="1" applyAlignment="1">
      <alignment horizontal="right"/>
    </xf>
    <xf numFmtId="9" fontId="10" fillId="5" borderId="1" xfId="0" applyNumberFormat="1" applyFont="1" applyFill="1" applyBorder="1" applyAlignment="1"/>
    <xf numFmtId="0" fontId="6" fillId="5" borderId="0" xfId="0" applyFont="1" applyFill="1" applyBorder="1" applyAlignment="1">
      <alignment wrapText="1"/>
    </xf>
    <xf numFmtId="0" fontId="6" fillId="5" borderId="0" xfId="2" applyFont="1" applyFill="1" applyBorder="1"/>
    <xf numFmtId="0" fontId="5" fillId="5" borderId="0" xfId="2" applyFill="1" applyBorder="1"/>
    <xf numFmtId="0" fontId="0" fillId="5" borderId="0" xfId="0" applyFill="1" applyBorder="1"/>
    <xf numFmtId="0" fontId="30" fillId="7" borderId="0" xfId="14" applyFont="1" applyFill="1" applyBorder="1" applyAlignment="1">
      <alignment horizontal="left"/>
    </xf>
    <xf numFmtId="0" fontId="30" fillId="7" borderId="0" xfId="14" applyFont="1" applyFill="1" applyBorder="1" applyAlignment="1">
      <alignment horizontal="center" vertical="center" wrapText="1"/>
    </xf>
    <xf numFmtId="0" fontId="31" fillId="5" borderId="0" xfId="14" applyFont="1" applyFill="1" applyBorder="1" applyAlignment="1">
      <alignment horizontal="left" wrapText="1"/>
    </xf>
    <xf numFmtId="9" fontId="31" fillId="5" borderId="0" xfId="10" applyNumberFormat="1" applyFont="1" applyFill="1" applyBorder="1" applyAlignment="1">
      <alignment horizontal="right" wrapText="1"/>
    </xf>
    <xf numFmtId="9" fontId="0" fillId="5" borderId="0" xfId="0" applyNumberFormat="1" applyFill="1" applyBorder="1"/>
    <xf numFmtId="0" fontId="29" fillId="0" borderId="1" xfId="0" applyFont="1" applyBorder="1"/>
    <xf numFmtId="0" fontId="29" fillId="0" borderId="1" xfId="0" applyFont="1" applyBorder="1" applyAlignment="1">
      <alignment horizontal="center"/>
    </xf>
    <xf numFmtId="0" fontId="42" fillId="0" borderId="1" xfId="17" applyFont="1" applyBorder="1" applyAlignment="1">
      <alignment vertical="center"/>
    </xf>
    <xf numFmtId="0" fontId="43" fillId="0" borderId="1" xfId="0" applyFont="1" applyBorder="1" applyAlignment="1">
      <alignment horizontal="left" vertical="center"/>
    </xf>
    <xf numFmtId="0" fontId="43" fillId="0" borderId="1" xfId="0" applyFont="1" applyBorder="1" applyAlignment="1">
      <alignment vertical="center"/>
    </xf>
    <xf numFmtId="0" fontId="43" fillId="0" borderId="1" xfId="0" applyFont="1" applyBorder="1" applyAlignment="1">
      <alignment vertical="center" wrapText="1"/>
    </xf>
    <xf numFmtId="0" fontId="20" fillId="0" borderId="0" xfId="0" applyFont="1" applyBorder="1" applyAlignment="1">
      <alignment horizontal="left" vertical="center" readingOrder="1"/>
    </xf>
    <xf numFmtId="3" fontId="30" fillId="0" borderId="9" xfId="6" applyNumberFormat="1" applyFont="1" applyFill="1" applyBorder="1" applyAlignment="1">
      <alignment horizontal="right" vertical="center"/>
    </xf>
    <xf numFmtId="0" fontId="2" fillId="0" borderId="0" xfId="16" applyAlignment="1"/>
    <xf numFmtId="165" fontId="2" fillId="0" borderId="0" xfId="16" applyNumberFormat="1" applyAlignment="1"/>
    <xf numFmtId="0" fontId="11" fillId="0" borderId="1" xfId="16" applyFont="1" applyBorder="1" applyAlignment="1"/>
    <xf numFmtId="0" fontId="11" fillId="0" borderId="15" xfId="16" applyFont="1" applyBorder="1" applyAlignment="1"/>
    <xf numFmtId="0" fontId="10" fillId="0" borderId="9" xfId="16" applyFont="1" applyBorder="1" applyAlignment="1">
      <alignment vertical="top"/>
    </xf>
    <xf numFmtId="0" fontId="34" fillId="0" borderId="0" xfId="16" applyFont="1" applyAlignment="1">
      <alignment horizontal="left" vertical="center" readingOrder="1"/>
    </xf>
    <xf numFmtId="0" fontId="2" fillId="0" borderId="0" xfId="16" applyFont="1" applyAlignment="1"/>
    <xf numFmtId="0" fontId="10" fillId="5" borderId="0" xfId="16" applyFont="1" applyFill="1" applyBorder="1" applyAlignment="1">
      <alignment vertical="top" wrapText="1"/>
    </xf>
    <xf numFmtId="0" fontId="6" fillId="5" borderId="0" xfId="16" applyFont="1" applyFill="1" applyBorder="1"/>
    <xf numFmtId="0" fontId="2" fillId="5" borderId="1" xfId="0" applyFont="1" applyFill="1" applyBorder="1"/>
    <xf numFmtId="0" fontId="44" fillId="5" borderId="1" xfId="0" applyFont="1" applyFill="1" applyBorder="1" applyAlignment="1" applyProtection="1">
      <alignment vertical="top" wrapText="1" readingOrder="1"/>
      <protection locked="0"/>
    </xf>
    <xf numFmtId="0" fontId="0" fillId="5" borderId="1" xfId="0" applyFill="1" applyBorder="1"/>
    <xf numFmtId="0" fontId="16" fillId="0" borderId="1" xfId="3" applyBorder="1"/>
    <xf numFmtId="164" fontId="31" fillId="0" borderId="1" xfId="8" applyNumberFormat="1" applyFont="1" applyFill="1" applyBorder="1" applyAlignment="1">
      <alignment horizontal="right"/>
    </xf>
    <xf numFmtId="49" fontId="31" fillId="0" borderId="0" xfId="6" applyNumberFormat="1" applyFont="1" applyFill="1" applyBorder="1"/>
    <xf numFmtId="3" fontId="31" fillId="0" borderId="0" xfId="6" applyNumberFormat="1" applyFont="1" applyFill="1" applyBorder="1" applyAlignment="1">
      <alignment horizontal="right"/>
    </xf>
    <xf numFmtId="49" fontId="31" fillId="0" borderId="0" xfId="6" applyNumberFormat="1" applyFont="1" applyBorder="1"/>
    <xf numFmtId="0" fontId="30" fillId="0" borderId="8" xfId="6" applyFont="1" applyFill="1" applyBorder="1" applyAlignment="1">
      <alignment wrapText="1"/>
    </xf>
    <xf numFmtId="0" fontId="30" fillId="3" borderId="13" xfId="6" applyFont="1" applyFill="1" applyBorder="1" applyAlignment="1">
      <alignment horizontal="center" vertical="center" wrapText="1"/>
    </xf>
    <xf numFmtId="3" fontId="31" fillId="0" borderId="0" xfId="6" applyNumberFormat="1" applyFont="1" applyBorder="1" applyAlignment="1">
      <alignment horizontal="right"/>
    </xf>
    <xf numFmtId="3" fontId="30" fillId="0" borderId="8" xfId="6" applyNumberFormat="1" applyFont="1" applyFill="1" applyBorder="1" applyAlignment="1">
      <alignment horizontal="right" vertical="center"/>
    </xf>
    <xf numFmtId="9" fontId="31" fillId="0" borderId="10" xfId="11" applyFont="1" applyBorder="1"/>
    <xf numFmtId="9" fontId="31" fillId="0" borderId="10" xfId="11" applyFont="1" applyFill="1" applyBorder="1"/>
    <xf numFmtId="9" fontId="30" fillId="0" borderId="9" xfId="9" applyFont="1" applyFill="1" applyBorder="1" applyAlignment="1">
      <alignment vertical="center"/>
    </xf>
    <xf numFmtId="0" fontId="13" fillId="5" borderId="0" xfId="6" applyFont="1" applyFill="1"/>
    <xf numFmtId="0" fontId="11" fillId="5" borderId="15" xfId="0" applyFont="1" applyFill="1" applyBorder="1"/>
    <xf numFmtId="0" fontId="10" fillId="5" borderId="9" xfId="0" applyFont="1" applyFill="1" applyBorder="1"/>
    <xf numFmtId="0" fontId="10" fillId="8" borderId="1" xfId="0" applyFont="1" applyFill="1" applyBorder="1" applyAlignment="1">
      <alignment horizontal="center" vertical="center"/>
    </xf>
    <xf numFmtId="0" fontId="2" fillId="5" borderId="15" xfId="0" applyFont="1" applyFill="1" applyBorder="1"/>
    <xf numFmtId="9" fontId="38" fillId="5" borderId="5" xfId="9" applyFont="1" applyFill="1" applyBorder="1" applyAlignment="1"/>
    <xf numFmtId="165" fontId="38" fillId="5" borderId="1" xfId="0" applyNumberFormat="1" applyFont="1" applyFill="1" applyBorder="1" applyAlignment="1"/>
    <xf numFmtId="165" fontId="38" fillId="5" borderId="15" xfId="0" applyNumberFormat="1" applyFont="1" applyFill="1" applyBorder="1" applyAlignment="1"/>
    <xf numFmtId="9" fontId="39" fillId="5" borderId="12" xfId="9" applyFont="1" applyFill="1" applyBorder="1" applyAlignment="1"/>
    <xf numFmtId="165" fontId="38" fillId="5" borderId="9" xfId="0" applyNumberFormat="1" applyFont="1" applyFill="1" applyBorder="1" applyAlignment="1"/>
    <xf numFmtId="9" fontId="38" fillId="5" borderId="15" xfId="9" applyFont="1" applyFill="1" applyBorder="1" applyAlignment="1"/>
    <xf numFmtId="9" fontId="38" fillId="5" borderId="1" xfId="0" applyNumberFormat="1" applyFont="1" applyFill="1" applyBorder="1" applyAlignment="1"/>
    <xf numFmtId="9" fontId="38" fillId="5" borderId="15" xfId="0" applyNumberFormat="1" applyFont="1" applyFill="1" applyBorder="1" applyAlignment="1"/>
    <xf numFmtId="0" fontId="10" fillId="5" borderId="9" xfId="0" applyFont="1" applyFill="1" applyBorder="1" applyAlignment="1"/>
    <xf numFmtId="9" fontId="39" fillId="5" borderId="9" xfId="0" applyNumberFormat="1" applyFont="1" applyFill="1" applyBorder="1" applyAlignment="1"/>
    <xf numFmtId="9" fontId="11" fillId="5" borderId="5" xfId="9" applyFont="1" applyFill="1" applyBorder="1" applyAlignment="1"/>
    <xf numFmtId="9" fontId="11" fillId="5" borderId="1" xfId="9" applyFont="1" applyFill="1" applyBorder="1" applyAlignment="1"/>
    <xf numFmtId="9" fontId="11" fillId="5" borderId="1" xfId="0" applyNumberFormat="1" applyFont="1" applyFill="1" applyBorder="1" applyAlignment="1"/>
    <xf numFmtId="0" fontId="31" fillId="5" borderId="1" xfId="0" applyFont="1" applyFill="1" applyBorder="1" applyAlignment="1" applyProtection="1">
      <alignment wrapText="1" readingOrder="1"/>
      <protection locked="0"/>
    </xf>
    <xf numFmtId="0" fontId="16" fillId="0" borderId="15" xfId="3" applyBorder="1"/>
    <xf numFmtId="0" fontId="16" fillId="5" borderId="1" xfId="3" applyFill="1" applyBorder="1"/>
    <xf numFmtId="0" fontId="16" fillId="5" borderId="15" xfId="3" applyFill="1" applyBorder="1"/>
    <xf numFmtId="0" fontId="0" fillId="5" borderId="0" xfId="0" applyFill="1" applyAlignment="1"/>
    <xf numFmtId="164" fontId="11" fillId="0" borderId="1" xfId="11" applyNumberFormat="1" applyFont="1" applyBorder="1"/>
    <xf numFmtId="9" fontId="0" fillId="0" borderId="0" xfId="0" applyNumberFormat="1" applyAlignment="1"/>
    <xf numFmtId="0" fontId="2" fillId="0" borderId="0" xfId="16"/>
    <xf numFmtId="0" fontId="2" fillId="0" borderId="1" xfId="16" applyBorder="1"/>
    <xf numFmtId="9" fontId="2" fillId="0" borderId="0" xfId="16" applyNumberFormat="1"/>
    <xf numFmtId="0" fontId="2" fillId="0" borderId="22" xfId="16" applyBorder="1"/>
    <xf numFmtId="0" fontId="2" fillId="0" borderId="23" xfId="16" applyBorder="1"/>
    <xf numFmtId="0" fontId="2" fillId="0" borderId="24" xfId="16" applyBorder="1"/>
    <xf numFmtId="0" fontId="2" fillId="0" borderId="2" xfId="16" applyBorder="1"/>
    <xf numFmtId="0" fontId="2" fillId="0" borderId="25" xfId="16" applyBorder="1"/>
    <xf numFmtId="9" fontId="11" fillId="5" borderId="1" xfId="0" applyNumberFormat="1" applyFont="1" applyFill="1" applyBorder="1" applyAlignment="1">
      <alignment horizontal="center" vertical="center"/>
    </xf>
    <xf numFmtId="0" fontId="19" fillId="0" borderId="0" xfId="16" applyFont="1"/>
    <xf numFmtId="0" fontId="19" fillId="0" borderId="0" xfId="4" applyFont="1"/>
    <xf numFmtId="0" fontId="11" fillId="0" borderId="1" xfId="0" applyFont="1" applyFill="1" applyBorder="1" applyAlignment="1">
      <alignment horizontal="center" vertical="center" wrapText="1"/>
    </xf>
    <xf numFmtId="9" fontId="11" fillId="0" borderId="1" xfId="0" applyNumberFormat="1" applyFont="1" applyFill="1" applyBorder="1" applyAlignment="1">
      <alignment horizontal="center" vertical="center" wrapText="1"/>
    </xf>
    <xf numFmtId="164" fontId="11" fillId="5" borderId="1" xfId="0" applyNumberFormat="1" applyFont="1" applyFill="1" applyBorder="1" applyAlignment="1"/>
    <xf numFmtId="0" fontId="11" fillId="0" borderId="1" xfId="16" applyFont="1" applyFill="1" applyBorder="1" applyAlignment="1">
      <alignment vertical="top"/>
    </xf>
    <xf numFmtId="0" fontId="11" fillId="0" borderId="1" xfId="16" applyFont="1" applyFill="1" applyBorder="1" applyAlignment="1"/>
    <xf numFmtId="0" fontId="19" fillId="5" borderId="0" xfId="16" applyFont="1" applyFill="1" applyBorder="1" applyAlignment="1"/>
    <xf numFmtId="0" fontId="0" fillId="0" borderId="1" xfId="0" applyBorder="1" applyAlignment="1">
      <alignment wrapText="1"/>
    </xf>
    <xf numFmtId="0" fontId="0" fillId="9" borderId="1" xfId="0" applyFill="1" applyBorder="1"/>
    <xf numFmtId="9" fontId="0" fillId="9" borderId="1" xfId="9" applyFont="1" applyFill="1" applyBorder="1"/>
    <xf numFmtId="0" fontId="0" fillId="10" borderId="1" xfId="0" applyFill="1" applyBorder="1"/>
    <xf numFmtId="9" fontId="0" fillId="10" borderId="1" xfId="9" applyFont="1" applyFill="1" applyBorder="1"/>
    <xf numFmtId="0" fontId="0" fillId="4" borderId="1" xfId="0" applyFill="1" applyBorder="1"/>
    <xf numFmtId="9" fontId="0" fillId="4" borderId="1" xfId="9" applyFont="1" applyFill="1" applyBorder="1"/>
    <xf numFmtId="0" fontId="0" fillId="11" borderId="1" xfId="0" applyFill="1" applyBorder="1"/>
    <xf numFmtId="9" fontId="0" fillId="11" borderId="1" xfId="9" applyFont="1" applyFill="1" applyBorder="1"/>
    <xf numFmtId="0" fontId="0" fillId="12" borderId="1" xfId="0" applyFill="1" applyBorder="1"/>
    <xf numFmtId="9" fontId="0" fillId="12" borderId="1" xfId="9" applyFont="1" applyFill="1" applyBorder="1"/>
    <xf numFmtId="0" fontId="2" fillId="13" borderId="1" xfId="0" applyFont="1" applyFill="1" applyBorder="1" applyAlignment="1"/>
    <xf numFmtId="9" fontId="2" fillId="13" borderId="1" xfId="9" applyFont="1" applyFill="1" applyBorder="1" applyAlignment="1"/>
    <xf numFmtId="0" fontId="2" fillId="14" borderId="1" xfId="0" applyFont="1" applyFill="1" applyBorder="1" applyAlignment="1"/>
    <xf numFmtId="9" fontId="2" fillId="14" borderId="1" xfId="9" applyFont="1" applyFill="1" applyBorder="1" applyAlignment="1"/>
    <xf numFmtId="0" fontId="2" fillId="0" borderId="0" xfId="16" applyBorder="1"/>
    <xf numFmtId="9" fontId="2" fillId="0" borderId="0" xfId="16" applyNumberFormat="1" applyBorder="1"/>
    <xf numFmtId="3" fontId="2" fillId="0" borderId="28" xfId="16" applyNumberFormat="1" applyBorder="1"/>
    <xf numFmtId="1" fontId="11" fillId="0" borderId="1" xfId="2" applyNumberFormat="1" applyFont="1" applyBorder="1"/>
    <xf numFmtId="9" fontId="13" fillId="0" borderId="0" xfId="9" applyFont="1"/>
    <xf numFmtId="0" fontId="6" fillId="15" borderId="0" xfId="0" applyFont="1" applyFill="1"/>
    <xf numFmtId="9" fontId="0" fillId="15" borderId="1" xfId="9" applyFont="1" applyFill="1" applyBorder="1"/>
    <xf numFmtId="9" fontId="0" fillId="15" borderId="15" xfId="9" applyFont="1" applyFill="1" applyBorder="1"/>
    <xf numFmtId="9" fontId="6" fillId="15" borderId="9" xfId="9" applyFont="1" applyFill="1" applyBorder="1"/>
    <xf numFmtId="0" fontId="46" fillId="0" borderId="0" xfId="0" applyFont="1" applyBorder="1" applyAlignment="1">
      <alignment vertical="center"/>
    </xf>
    <xf numFmtId="0" fontId="17" fillId="0" borderId="0" xfId="0" applyFont="1" applyAlignment="1">
      <alignment horizontal="left"/>
    </xf>
    <xf numFmtId="0" fontId="47" fillId="0" borderId="0" xfId="0" applyFont="1" applyAlignment="1">
      <alignment horizontal="right"/>
    </xf>
    <xf numFmtId="0" fontId="18" fillId="0" borderId="10" xfId="0" applyFont="1" applyBorder="1" applyAlignment="1">
      <alignment vertical="center" wrapText="1"/>
    </xf>
    <xf numFmtId="1" fontId="32" fillId="0" borderId="6" xfId="0" applyNumberFormat="1" applyFont="1" applyBorder="1" applyAlignment="1">
      <alignment horizontal="right" vertical="center"/>
    </xf>
    <xf numFmtId="0" fontId="48" fillId="0" borderId="9" xfId="0" applyFont="1" applyBorder="1" applyAlignment="1">
      <alignment vertical="center" wrapText="1"/>
    </xf>
    <xf numFmtId="1" fontId="32" fillId="0" borderId="12" xfId="0" applyNumberFormat="1" applyFont="1" applyBorder="1" applyAlignment="1">
      <alignment horizontal="right" vertical="center"/>
    </xf>
    <xf numFmtId="0" fontId="18" fillId="0" borderId="1" xfId="0" applyFont="1" applyBorder="1" applyAlignment="1">
      <alignment vertical="center" wrapText="1"/>
    </xf>
    <xf numFmtId="1" fontId="18" fillId="0" borderId="1" xfId="0" applyNumberFormat="1" applyFont="1" applyBorder="1" applyAlignment="1">
      <alignment horizontal="right" vertical="center"/>
    </xf>
    <xf numFmtId="0" fontId="28" fillId="0" borderId="0" xfId="3" applyFont="1"/>
    <xf numFmtId="0" fontId="11" fillId="0" borderId="0" xfId="3" applyFont="1"/>
    <xf numFmtId="49" fontId="30" fillId="3" borderId="13" xfId="6" applyNumberFormat="1" applyFont="1" applyFill="1" applyBorder="1" applyAlignment="1">
      <alignment horizontal="center" vertical="center" wrapText="1"/>
    </xf>
    <xf numFmtId="49" fontId="31" fillId="5" borderId="8" xfId="6" applyNumberFormat="1" applyFont="1" applyFill="1" applyBorder="1"/>
    <xf numFmtId="3" fontId="31" fillId="5" borderId="9" xfId="6" applyNumberFormat="1" applyFont="1" applyFill="1" applyBorder="1" applyAlignment="1">
      <alignment horizontal="right"/>
    </xf>
    <xf numFmtId="3" fontId="31" fillId="5" borderId="8" xfId="6" applyNumberFormat="1" applyFont="1" applyFill="1" applyBorder="1" applyAlignment="1">
      <alignment horizontal="right"/>
    </xf>
    <xf numFmtId="9" fontId="31" fillId="5" borderId="9" xfId="11" applyFont="1" applyFill="1" applyBorder="1"/>
    <xf numFmtId="49" fontId="31" fillId="0" borderId="29" xfId="6" applyNumberFormat="1" applyFont="1" applyBorder="1"/>
    <xf numFmtId="3" fontId="31" fillId="0" borderId="6" xfId="6" applyNumberFormat="1" applyFont="1" applyBorder="1" applyAlignment="1">
      <alignment horizontal="right"/>
    </xf>
    <xf numFmtId="3" fontId="31" fillId="0" borderId="6" xfId="6" applyNumberFormat="1" applyFont="1" applyFill="1" applyBorder="1" applyAlignment="1">
      <alignment horizontal="right"/>
    </xf>
    <xf numFmtId="49" fontId="31" fillId="0" borderId="29" xfId="6" applyNumberFormat="1" applyFont="1" applyFill="1" applyBorder="1"/>
    <xf numFmtId="49" fontId="31" fillId="0" borderId="11" xfId="6" applyNumberFormat="1" applyFont="1" applyFill="1" applyBorder="1"/>
    <xf numFmtId="3" fontId="31" fillId="0" borderId="9" xfId="6" applyNumberFormat="1" applyFont="1" applyFill="1" applyBorder="1" applyAlignment="1">
      <alignment horizontal="right"/>
    </xf>
    <xf numFmtId="3" fontId="31" fillId="0" borderId="12" xfId="6" applyNumberFormat="1" applyFont="1" applyFill="1" applyBorder="1" applyAlignment="1">
      <alignment horizontal="right"/>
    </xf>
    <xf numFmtId="0" fontId="49" fillId="0" borderId="0" xfId="3" applyFont="1" applyAlignment="1">
      <alignment vertical="top"/>
    </xf>
    <xf numFmtId="9" fontId="0" fillId="0" borderId="0" xfId="9" applyFont="1"/>
    <xf numFmtId="9" fontId="0" fillId="0" borderId="0" xfId="0" applyNumberFormat="1" applyBorder="1"/>
    <xf numFmtId="0" fontId="2" fillId="0" borderId="0" xfId="0" applyFont="1" applyAlignment="1">
      <alignment horizontal="right"/>
    </xf>
    <xf numFmtId="9" fontId="28" fillId="0" borderId="0" xfId="0" applyNumberFormat="1" applyFont="1" applyBorder="1" applyAlignment="1">
      <alignment horizontal="right"/>
    </xf>
    <xf numFmtId="164" fontId="6" fillId="15" borderId="0" xfId="0" applyNumberFormat="1" applyFont="1" applyFill="1"/>
    <xf numFmtId="0" fontId="26" fillId="0" borderId="1" xfId="16" applyFont="1" applyBorder="1" applyAlignment="1">
      <alignment vertical="top"/>
    </xf>
    <xf numFmtId="0" fontId="11" fillId="0" borderId="1" xfId="16" applyFont="1" applyFill="1" applyBorder="1" applyAlignment="1">
      <alignment horizontal="right" vertical="top"/>
    </xf>
    <xf numFmtId="0" fontId="11" fillId="0" borderId="1" xfId="16" applyFont="1" applyFill="1" applyBorder="1" applyAlignment="1">
      <alignment horizontal="right"/>
    </xf>
    <xf numFmtId="0" fontId="11" fillId="0" borderId="15" xfId="16" applyFont="1" applyFill="1" applyBorder="1" applyAlignment="1">
      <alignment horizontal="right"/>
    </xf>
    <xf numFmtId="0" fontId="10" fillId="0" borderId="9" xfId="16" applyFont="1" applyBorder="1" applyAlignment="1">
      <alignment horizontal="right" vertical="top"/>
    </xf>
    <xf numFmtId="0" fontId="10" fillId="0" borderId="1" xfId="16" applyFont="1" applyBorder="1" applyAlignment="1">
      <alignment horizontal="right" vertical="top"/>
    </xf>
    <xf numFmtId="9" fontId="11" fillId="0" borderId="1" xfId="9" applyFont="1" applyFill="1" applyBorder="1" applyAlignment="1">
      <alignment horizontal="right" vertical="top"/>
    </xf>
    <xf numFmtId="9" fontId="10" fillId="0" borderId="9" xfId="9" applyFont="1" applyBorder="1" applyAlignment="1">
      <alignment horizontal="right" vertical="top"/>
    </xf>
    <xf numFmtId="0" fontId="18" fillId="16" borderId="1" xfId="0" applyFont="1" applyFill="1" applyBorder="1" applyAlignment="1">
      <alignment horizontal="center" vertical="center" wrapText="1"/>
    </xf>
    <xf numFmtId="1" fontId="18" fillId="0" borderId="6" xfId="0" applyNumberFormat="1" applyFont="1" applyBorder="1" applyAlignment="1">
      <alignment horizontal="right" vertical="center" wrapText="1"/>
    </xf>
    <xf numFmtId="0" fontId="18" fillId="16" borderId="1" xfId="0" applyFont="1" applyFill="1" applyBorder="1" applyAlignment="1">
      <alignment horizontal="left" vertical="center" wrapText="1"/>
    </xf>
    <xf numFmtId="0" fontId="48" fillId="0" borderId="10" xfId="0" applyFont="1" applyBorder="1" applyAlignment="1">
      <alignment vertical="center" wrapText="1"/>
    </xf>
    <xf numFmtId="0" fontId="26" fillId="0" borderId="1" xfId="16" applyFont="1" applyBorder="1" applyAlignment="1">
      <alignment vertical="top" wrapText="1"/>
    </xf>
    <xf numFmtId="0" fontId="49" fillId="0" borderId="0" xfId="3" applyFont="1" applyAlignment="1"/>
    <xf numFmtId="3" fontId="2" fillId="0" borderId="4" xfId="16" applyNumberFormat="1" applyBorder="1"/>
    <xf numFmtId="3" fontId="2" fillId="0" borderId="15" xfId="16" applyNumberFormat="1" applyBorder="1" applyAlignment="1">
      <alignment vertical="center"/>
    </xf>
    <xf numFmtId="3" fontId="2" fillId="0" borderId="16" xfId="16" applyNumberFormat="1" applyBorder="1" applyAlignment="1">
      <alignment vertical="center"/>
    </xf>
    <xf numFmtId="4" fontId="2" fillId="0" borderId="4" xfId="16" applyNumberFormat="1" applyBorder="1"/>
    <xf numFmtId="4" fontId="2" fillId="0" borderId="28" xfId="16" applyNumberFormat="1" applyBorder="1"/>
    <xf numFmtId="0" fontId="23" fillId="0" borderId="0" xfId="0" applyFont="1" applyAlignment="1">
      <alignment horizontal="left" vertical="center"/>
    </xf>
    <xf numFmtId="0" fontId="26" fillId="3" borderId="4" xfId="0" applyFont="1" applyFill="1" applyBorder="1" applyAlignment="1">
      <alignment horizontal="left" vertical="center" readingOrder="1"/>
    </xf>
    <xf numFmtId="0" fontId="20" fillId="0" borderId="0" xfId="0" applyFont="1" applyBorder="1" applyAlignment="1">
      <alignment vertical="center" readingOrder="1"/>
    </xf>
    <xf numFmtId="3" fontId="11" fillId="0" borderId="9" xfId="16" applyNumberFormat="1" applyFont="1" applyBorder="1"/>
    <xf numFmtId="0" fontId="11" fillId="0" borderId="1" xfId="16" applyFont="1" applyBorder="1"/>
    <xf numFmtId="0" fontId="11" fillId="0" borderId="9" xfId="16" applyFont="1" applyBorder="1"/>
    <xf numFmtId="164" fontId="11" fillId="0" borderId="9" xfId="9" applyNumberFormat="1" applyFont="1" applyBorder="1"/>
    <xf numFmtId="3" fontId="11" fillId="0" borderId="1" xfId="16" applyNumberFormat="1" applyFont="1" applyBorder="1"/>
    <xf numFmtId="0" fontId="50" fillId="0" borderId="1" xfId="16" applyFont="1" applyBorder="1"/>
    <xf numFmtId="4" fontId="11" fillId="0" borderId="1" xfId="16" applyNumberFormat="1" applyFont="1" applyBorder="1"/>
    <xf numFmtId="4" fontId="11" fillId="0" borderId="9" xfId="16" applyNumberFormat="1" applyFont="1" applyBorder="1"/>
    <xf numFmtId="0" fontId="11" fillId="0" borderId="1" xfId="16" applyFont="1" applyBorder="1" applyAlignment="1">
      <alignment wrapText="1"/>
    </xf>
    <xf numFmtId="3" fontId="11" fillId="0" borderId="1" xfId="16" applyNumberFormat="1" applyFont="1" applyBorder="1" applyAlignment="1">
      <alignment vertical="center"/>
    </xf>
    <xf numFmtId="164" fontId="11" fillId="0" borderId="1" xfId="9" applyNumberFormat="1" applyFont="1" applyBorder="1" applyAlignment="1">
      <alignment vertical="center"/>
    </xf>
    <xf numFmtId="165" fontId="11" fillId="5" borderId="1" xfId="2" applyNumberFormat="1" applyFont="1" applyFill="1" applyBorder="1" applyAlignment="1">
      <alignment horizontal="right"/>
    </xf>
    <xf numFmtId="1" fontId="11" fillId="5" borderId="1" xfId="2" applyNumberFormat="1" applyFont="1" applyFill="1" applyBorder="1" applyAlignment="1">
      <alignment horizontal="right"/>
    </xf>
    <xf numFmtId="0" fontId="18" fillId="3" borderId="2" xfId="3" applyFont="1" applyFill="1" applyBorder="1" applyAlignment="1">
      <alignment vertical="center"/>
    </xf>
    <xf numFmtId="165" fontId="16" fillId="0" borderId="0" xfId="3" applyNumberFormat="1"/>
    <xf numFmtId="0" fontId="1" fillId="0" borderId="0" xfId="3" applyFont="1" applyAlignment="1">
      <alignment horizontal="right"/>
    </xf>
    <xf numFmtId="0" fontId="19" fillId="5" borderId="0" xfId="16" applyFont="1" applyFill="1"/>
    <xf numFmtId="0" fontId="19" fillId="5" borderId="0" xfId="16" applyFont="1" applyFill="1" applyAlignment="1"/>
    <xf numFmtId="0" fontId="19" fillId="5" borderId="0" xfId="16" applyFont="1" applyFill="1" applyAlignment="1">
      <alignment horizontal="center" wrapText="1"/>
    </xf>
    <xf numFmtId="164" fontId="19" fillId="5" borderId="0" xfId="16" applyNumberFormat="1" applyFont="1" applyFill="1"/>
    <xf numFmtId="0" fontId="19" fillId="5" borderId="0" xfId="4" applyFont="1" applyFill="1"/>
    <xf numFmtId="0" fontId="51" fillId="0" borderId="0" xfId="0" applyFont="1"/>
    <xf numFmtId="9" fontId="11" fillId="0" borderId="9" xfId="16" applyNumberFormat="1" applyFont="1" applyBorder="1" applyAlignment="1">
      <alignment horizontal="center" vertical="center"/>
    </xf>
    <xf numFmtId="166" fontId="11" fillId="0" borderId="9" xfId="16" applyNumberFormat="1" applyFont="1" applyBorder="1" applyAlignment="1">
      <alignment vertical="center"/>
    </xf>
    <xf numFmtId="0" fontId="52" fillId="0" borderId="1" xfId="17" quotePrefix="1" applyFont="1" applyBorder="1" applyAlignment="1">
      <alignment horizontal="center"/>
    </xf>
    <xf numFmtId="0" fontId="19" fillId="0" borderId="1" xfId="0" applyFont="1" applyBorder="1"/>
    <xf numFmtId="0" fontId="11" fillId="0" borderId="1" xfId="2" applyFont="1" applyFill="1" applyBorder="1"/>
    <xf numFmtId="1" fontId="11" fillId="0" borderId="1" xfId="2" applyNumberFormat="1" applyFont="1" applyFill="1" applyBorder="1"/>
    <xf numFmtId="0" fontId="2" fillId="5" borderId="1" xfId="0" applyFont="1" applyFill="1" applyBorder="1" applyAlignment="1"/>
    <xf numFmtId="9" fontId="0" fillId="5" borderId="1" xfId="9" applyFont="1" applyFill="1" applyBorder="1"/>
    <xf numFmtId="0" fontId="0" fillId="5" borderId="1" xfId="0" applyFill="1" applyBorder="1" applyAlignment="1">
      <alignment wrapText="1"/>
    </xf>
    <xf numFmtId="0" fontId="0" fillId="3" borderId="1" xfId="0" applyFill="1" applyBorder="1" applyAlignment="1">
      <alignment wrapText="1"/>
    </xf>
    <xf numFmtId="0" fontId="2" fillId="3" borderId="1" xfId="0" applyFont="1" applyFill="1" applyBorder="1" applyAlignment="1"/>
    <xf numFmtId="1" fontId="11" fillId="0" borderId="1" xfId="0" applyNumberFormat="1" applyFont="1" applyBorder="1"/>
    <xf numFmtId="0" fontId="19" fillId="5" borderId="0" xfId="0" applyFont="1" applyFill="1"/>
    <xf numFmtId="0" fontId="24" fillId="0" borderId="0" xfId="0" applyFont="1" applyAlignment="1">
      <alignment horizontal="left"/>
    </xf>
    <xf numFmtId="0" fontId="53" fillId="0" borderId="0" xfId="0" applyFont="1"/>
    <xf numFmtId="164" fontId="11" fillId="0" borderId="1" xfId="0" applyNumberFormat="1" applyFont="1" applyBorder="1"/>
    <xf numFmtId="0" fontId="2" fillId="0" borderId="0" xfId="0" applyFont="1" applyAlignment="1">
      <alignment horizontal="right" vertical="top"/>
    </xf>
    <xf numFmtId="0" fontId="0" fillId="0" borderId="0" xfId="0" applyAlignment="1">
      <alignment horizontal="right"/>
    </xf>
    <xf numFmtId="0" fontId="34" fillId="0" borderId="0" xfId="16" applyFont="1" applyAlignment="1">
      <alignment horizontal="left" vertical="top" readingOrder="1"/>
    </xf>
    <xf numFmtId="0" fontId="6" fillId="5" borderId="0" xfId="0" applyFont="1" applyFill="1" applyBorder="1" applyAlignment="1">
      <alignment horizontal="center" vertical="center" wrapText="1"/>
    </xf>
    <xf numFmtId="0" fontId="11" fillId="5" borderId="0" xfId="0" applyFont="1" applyFill="1" applyBorder="1" applyAlignment="1"/>
    <xf numFmtId="164" fontId="11" fillId="15" borderId="1" xfId="9" applyNumberFormat="1" applyFont="1" applyFill="1" applyBorder="1"/>
    <xf numFmtId="164" fontId="11" fillId="15" borderId="15" xfId="9" applyNumberFormat="1" applyFont="1" applyFill="1" applyBorder="1"/>
    <xf numFmtId="164" fontId="10" fillId="15" borderId="9" xfId="9" applyNumberFormat="1" applyFont="1" applyFill="1" applyBorder="1"/>
    <xf numFmtId="0" fontId="23" fillId="0" borderId="6" xfId="0" applyFont="1" applyBorder="1" applyAlignment="1">
      <alignment horizontal="right" vertical="top"/>
    </xf>
    <xf numFmtId="0" fontId="11" fillId="5" borderId="9" xfId="0" applyFont="1" applyFill="1" applyBorder="1"/>
    <xf numFmtId="0" fontId="18" fillId="3" borderId="1" xfId="3" applyFont="1" applyFill="1" applyBorder="1" applyAlignment="1">
      <alignment vertical="center"/>
    </xf>
    <xf numFmtId="0" fontId="54" fillId="0" borderId="0" xfId="3" applyFont="1"/>
    <xf numFmtId="0" fontId="55" fillId="0" borderId="0" xfId="3" applyFont="1"/>
    <xf numFmtId="0" fontId="39" fillId="3" borderId="5" xfId="0" applyFont="1" applyFill="1" applyBorder="1" applyAlignment="1">
      <alignment horizontal="center" vertical="center"/>
    </xf>
    <xf numFmtId="49" fontId="25" fillId="6" borderId="0" xfId="13" applyNumberFormat="1" applyFont="1" applyFill="1" applyAlignment="1">
      <alignment horizontal="left"/>
    </xf>
    <xf numFmtId="49" fontId="22" fillId="0" borderId="0" xfId="13" applyNumberFormat="1" applyFont="1" applyAlignment="1">
      <alignment horizontal="center"/>
    </xf>
    <xf numFmtId="0" fontId="23" fillId="0" borderId="0" xfId="13" applyFont="1" applyAlignment="1">
      <alignment horizontal="center"/>
    </xf>
    <xf numFmtId="49" fontId="2" fillId="0" borderId="0" xfId="13" applyNumberFormat="1" applyFont="1" applyAlignment="1">
      <alignment horizontal="center" wrapText="1"/>
    </xf>
    <xf numFmtId="49" fontId="24" fillId="0" borderId="0" xfId="13" applyNumberFormat="1" applyFont="1" applyAlignment="1">
      <alignment horizontal="center" vertical="center"/>
    </xf>
    <xf numFmtId="49" fontId="25" fillId="6" borderId="0" xfId="13" applyNumberFormat="1" applyFont="1" applyFill="1" applyBorder="1" applyAlignment="1">
      <alignment horizontal="left"/>
    </xf>
    <xf numFmtId="0" fontId="10" fillId="0" borderId="1" xfId="18" applyFont="1" applyBorder="1" applyAlignment="1">
      <alignment horizontal="left"/>
    </xf>
    <xf numFmtId="0" fontId="2" fillId="0" borderId="0" xfId="0" applyFont="1" applyAlignment="1">
      <alignment wrapText="1"/>
    </xf>
    <xf numFmtId="9" fontId="10" fillId="5" borderId="1" xfId="9" applyFont="1" applyFill="1" applyBorder="1"/>
    <xf numFmtId="2" fontId="11" fillId="5" borderId="1" xfId="0" applyNumberFormat="1" applyFont="1" applyFill="1" applyBorder="1" applyAlignment="1">
      <alignment wrapText="1"/>
    </xf>
    <xf numFmtId="2" fontId="11" fillId="5" borderId="1" xfId="0" applyNumberFormat="1" applyFont="1" applyFill="1" applyBorder="1" applyAlignment="1"/>
    <xf numFmtId="2" fontId="11" fillId="5" borderId="1" xfId="9" applyNumberFormat="1" applyFont="1" applyFill="1" applyBorder="1" applyAlignment="1"/>
    <xf numFmtId="2" fontId="10" fillId="5" borderId="1" xfId="0" applyNumberFormat="1" applyFont="1" applyFill="1" applyBorder="1"/>
    <xf numFmtId="2" fontId="10" fillId="5" borderId="1" xfId="0" applyNumberFormat="1" applyFont="1" applyFill="1" applyBorder="1" applyAlignment="1"/>
    <xf numFmtId="2" fontId="10" fillId="5" borderId="1" xfId="9" applyNumberFormat="1" applyFont="1" applyFill="1" applyBorder="1" applyAlignment="1"/>
    <xf numFmtId="0" fontId="10" fillId="5" borderId="1" xfId="0" applyFont="1" applyFill="1" applyBorder="1" applyAlignment="1">
      <alignment horizontal="left" vertical="center"/>
    </xf>
    <xf numFmtId="0" fontId="10" fillId="0" borderId="1" xfId="0" applyFont="1" applyBorder="1" applyAlignment="1">
      <alignment horizontal="right"/>
    </xf>
    <xf numFmtId="0" fontId="6" fillId="5" borderId="1" xfId="0" applyFont="1" applyFill="1" applyBorder="1"/>
    <xf numFmtId="0" fontId="10" fillId="5" borderId="1" xfId="0" applyFont="1" applyFill="1" applyBorder="1" applyAlignment="1">
      <alignment horizontal="right"/>
    </xf>
    <xf numFmtId="9" fontId="10" fillId="5" borderId="1" xfId="9" applyFont="1" applyFill="1" applyBorder="1" applyAlignment="1">
      <alignment horizontal="right"/>
    </xf>
    <xf numFmtId="0" fontId="10" fillId="5" borderId="1" xfId="0" applyFont="1" applyFill="1" applyBorder="1"/>
    <xf numFmtId="0" fontId="56" fillId="0" borderId="9" xfId="3" applyFont="1" applyBorder="1"/>
    <xf numFmtId="0" fontId="56" fillId="5" borderId="9" xfId="3" applyFont="1" applyFill="1" applyBorder="1"/>
    <xf numFmtId="9" fontId="10" fillId="0" borderId="1" xfId="0" applyNumberFormat="1" applyFont="1" applyBorder="1"/>
    <xf numFmtId="0" fontId="18" fillId="3" borderId="1" xfId="16" applyFont="1" applyFill="1" applyBorder="1" applyAlignment="1">
      <alignment horizontal="center" vertical="center" wrapText="1"/>
    </xf>
    <xf numFmtId="9" fontId="18" fillId="3" borderId="1" xfId="16" applyNumberFormat="1" applyFont="1" applyFill="1" applyBorder="1" applyAlignment="1">
      <alignment horizontal="center" vertical="center" wrapText="1"/>
    </xf>
    <xf numFmtId="9" fontId="11" fillId="0" borderId="0" xfId="16" applyNumberFormat="1" applyFont="1" applyBorder="1"/>
    <xf numFmtId="0" fontId="19" fillId="0" borderId="0" xfId="16" applyFont="1" applyBorder="1"/>
    <xf numFmtId="3" fontId="2" fillId="0" borderId="19" xfId="16" applyNumberFormat="1" applyBorder="1"/>
    <xf numFmtId="3" fontId="2" fillId="0" borderId="20" xfId="16" applyNumberFormat="1" applyBorder="1"/>
    <xf numFmtId="164" fontId="2" fillId="0" borderId="32" xfId="9" applyNumberFormat="1" applyBorder="1"/>
    <xf numFmtId="164" fontId="2" fillId="0" borderId="33" xfId="9" applyNumberFormat="1" applyBorder="1"/>
    <xf numFmtId="164" fontId="2" fillId="0" borderId="34" xfId="9" applyNumberFormat="1" applyBorder="1" applyAlignment="1">
      <alignment vertical="center"/>
    </xf>
    <xf numFmtId="3" fontId="11" fillId="0" borderId="35" xfId="16" applyNumberFormat="1" applyFont="1" applyBorder="1"/>
    <xf numFmtId="0" fontId="11" fillId="0" borderId="26" xfId="16" applyFont="1" applyBorder="1"/>
    <xf numFmtId="0" fontId="6" fillId="0" borderId="15" xfId="16" applyFont="1" applyBorder="1"/>
    <xf numFmtId="0" fontId="6" fillId="0" borderId="16" xfId="16" applyFont="1" applyBorder="1"/>
    <xf numFmtId="0" fontId="6" fillId="0" borderId="26" xfId="16" applyFont="1" applyBorder="1"/>
    <xf numFmtId="0" fontId="2" fillId="0" borderId="36" xfId="16" applyBorder="1"/>
    <xf numFmtId="0" fontId="2" fillId="0" borderId="5" xfId="16" applyBorder="1"/>
    <xf numFmtId="0" fontId="6" fillId="0" borderId="18" xfId="16" applyFont="1" applyBorder="1"/>
    <xf numFmtId="6" fontId="2" fillId="0" borderId="32" xfId="16" applyNumberFormat="1" applyBorder="1"/>
    <xf numFmtId="0" fontId="2" fillId="0" borderId="33" xfId="16" applyBorder="1"/>
    <xf numFmtId="0" fontId="20" fillId="0" borderId="34" xfId="16" applyFont="1" applyBorder="1"/>
    <xf numFmtId="3" fontId="2" fillId="0" borderId="30" xfId="16" applyNumberFormat="1" applyBorder="1"/>
    <xf numFmtId="3" fontId="2" fillId="0" borderId="3" xfId="16" applyNumberFormat="1" applyBorder="1"/>
    <xf numFmtId="4" fontId="2" fillId="0" borderId="3" xfId="16" applyNumberFormat="1" applyBorder="1"/>
    <xf numFmtId="3" fontId="2" fillId="0" borderId="18" xfId="16" applyNumberFormat="1" applyBorder="1" applyAlignment="1">
      <alignment vertical="center"/>
    </xf>
    <xf numFmtId="0" fontId="2" fillId="0" borderId="27" xfId="16" applyBorder="1"/>
    <xf numFmtId="0" fontId="2" fillId="0" borderId="37" xfId="16" applyBorder="1"/>
    <xf numFmtId="0" fontId="19" fillId="0" borderId="37" xfId="16" applyFont="1" applyBorder="1"/>
    <xf numFmtId="0" fontId="2" fillId="0" borderId="38" xfId="16" applyBorder="1" applyAlignment="1">
      <alignment wrapText="1"/>
    </xf>
    <xf numFmtId="0" fontId="10" fillId="3" borderId="1" xfId="16" applyFont="1" applyFill="1" applyBorder="1" applyAlignment="1">
      <alignment horizontal="center" vertical="top"/>
    </xf>
    <xf numFmtId="0" fontId="26" fillId="3" borderId="1" xfId="16" applyFont="1" applyFill="1" applyBorder="1" applyAlignment="1">
      <alignment horizontal="center" vertical="top" wrapText="1"/>
    </xf>
    <xf numFmtId="0" fontId="20" fillId="3" borderId="27" xfId="16" applyFont="1" applyFill="1" applyBorder="1" applyAlignment="1">
      <alignment wrapText="1"/>
    </xf>
    <xf numFmtId="0" fontId="19" fillId="3" borderId="31" xfId="16" applyFont="1" applyFill="1" applyBorder="1" applyAlignment="1">
      <alignment wrapText="1"/>
    </xf>
    <xf numFmtId="0" fontId="20" fillId="3" borderId="27" xfId="16" applyFont="1" applyFill="1" applyBorder="1"/>
    <xf numFmtId="0" fontId="20" fillId="3" borderId="1" xfId="16" applyFont="1" applyFill="1" applyBorder="1"/>
    <xf numFmtId="0" fontId="6" fillId="3" borderId="30" xfId="16" applyFont="1" applyFill="1" applyBorder="1"/>
    <xf numFmtId="0" fontId="6" fillId="3" borderId="19" xfId="16" applyFont="1" applyFill="1" applyBorder="1"/>
    <xf numFmtId="0" fontId="6" fillId="3" borderId="20" xfId="16" applyFont="1" applyFill="1" applyBorder="1"/>
    <xf numFmtId="0" fontId="6" fillId="3" borderId="21" xfId="16" applyFont="1" applyFill="1" applyBorder="1"/>
    <xf numFmtId="0" fontId="20" fillId="3" borderId="31" xfId="16" applyFont="1" applyFill="1" applyBorder="1" applyAlignment="1">
      <alignment wrapText="1"/>
    </xf>
    <xf numFmtId="0" fontId="20" fillId="3" borderId="1" xfId="16" applyFont="1" applyFill="1" applyBorder="1" applyAlignment="1">
      <alignment horizontal="center" wrapText="1"/>
    </xf>
    <xf numFmtId="0" fontId="20" fillId="3" borderId="1" xfId="16" applyFont="1" applyFill="1" applyBorder="1" applyAlignment="1">
      <alignment wrapText="1"/>
    </xf>
    <xf numFmtId="0" fontId="19" fillId="0" borderId="1" xfId="4" applyFont="1" applyBorder="1" applyAlignment="1">
      <alignment wrapText="1"/>
    </xf>
    <xf numFmtId="9" fontId="19" fillId="0" borderId="1" xfId="4" applyNumberFormat="1" applyFont="1" applyBorder="1" applyAlignment="1">
      <alignment wrapText="1"/>
    </xf>
    <xf numFmtId="9" fontId="19" fillId="0" borderId="1" xfId="16" applyNumberFormat="1" applyFont="1" applyBorder="1"/>
    <xf numFmtId="0" fontId="19" fillId="0" borderId="1" xfId="4" applyFont="1" applyBorder="1"/>
    <xf numFmtId="9" fontId="19" fillId="0" borderId="1" xfId="4" applyNumberFormat="1" applyFont="1" applyBorder="1"/>
    <xf numFmtId="0" fontId="19" fillId="0" borderId="1" xfId="16" applyFont="1" applyBorder="1"/>
    <xf numFmtId="0" fontId="8" fillId="3" borderId="20" xfId="16" applyFont="1" applyFill="1" applyBorder="1"/>
    <xf numFmtId="0" fontId="8" fillId="3" borderId="21" xfId="16" applyFont="1" applyFill="1" applyBorder="1"/>
    <xf numFmtId="9" fontId="38" fillId="0" borderId="1" xfId="9" applyFont="1" applyBorder="1"/>
    <xf numFmtId="9" fontId="38" fillId="0" borderId="1" xfId="16" applyNumberFormat="1" applyFont="1" applyBorder="1"/>
    <xf numFmtId="9" fontId="39" fillId="0" borderId="15" xfId="16" applyNumberFormat="1" applyFont="1" applyBorder="1"/>
    <xf numFmtId="0" fontId="34" fillId="0" borderId="0" xfId="0" applyFont="1"/>
    <xf numFmtId="49" fontId="25" fillId="6" borderId="0" xfId="13" applyNumberFormat="1" applyFont="1" applyFill="1" applyAlignment="1">
      <alignment horizontal="left"/>
    </xf>
    <xf numFmtId="49" fontId="22" fillId="0" borderId="0" xfId="13" applyNumberFormat="1" applyFont="1" applyAlignment="1">
      <alignment horizontal="center"/>
    </xf>
    <xf numFmtId="0" fontId="23" fillId="0" borderId="0" xfId="13" applyFont="1" applyAlignment="1">
      <alignment horizontal="center"/>
    </xf>
    <xf numFmtId="49" fontId="2" fillId="0" borderId="0" xfId="13" applyNumberFormat="1" applyFont="1" applyAlignment="1">
      <alignment horizontal="center" wrapText="1"/>
    </xf>
    <xf numFmtId="49" fontId="24" fillId="0" borderId="0" xfId="13" applyNumberFormat="1" applyFont="1" applyAlignment="1">
      <alignment horizontal="center" vertical="center"/>
    </xf>
    <xf numFmtId="49" fontId="25" fillId="6" borderId="8" xfId="13" applyNumberFormat="1" applyFont="1" applyFill="1" applyBorder="1" applyAlignment="1">
      <alignment horizontal="left"/>
    </xf>
    <xf numFmtId="49" fontId="50" fillId="0" borderId="0" xfId="13" applyNumberFormat="1" applyFont="1" applyAlignment="1">
      <alignment horizontal="left" vertical="center" wrapText="1"/>
    </xf>
    <xf numFmtId="0" fontId="34" fillId="0" borderId="0" xfId="0" applyFont="1" applyBorder="1" applyAlignment="1">
      <alignment horizontal="left" vertical="top" wrapText="1"/>
    </xf>
    <xf numFmtId="0" fontId="28" fillId="0" borderId="14" xfId="3" applyFont="1" applyBorder="1" applyAlignment="1">
      <alignment horizontal="left" wrapText="1"/>
    </xf>
    <xf numFmtId="0" fontId="6" fillId="3" borderId="1" xfId="0" applyFont="1" applyFill="1" applyBorder="1" applyAlignment="1">
      <alignment horizontal="center" vertical="center" wrapText="1"/>
    </xf>
    <xf numFmtId="0" fontId="6" fillId="0" borderId="8" xfId="0" applyFont="1" applyBorder="1" applyAlignment="1">
      <alignment horizontal="left"/>
    </xf>
    <xf numFmtId="0" fontId="6" fillId="3" borderId="1" xfId="0" applyFont="1" applyFill="1" applyBorder="1" applyAlignment="1">
      <alignment horizontal="center" vertical="center"/>
    </xf>
    <xf numFmtId="0" fontId="6" fillId="15" borderId="1" xfId="3" applyFont="1" applyFill="1" applyBorder="1" applyAlignment="1">
      <alignment horizontal="center" vertical="center" wrapText="1"/>
    </xf>
    <xf numFmtId="0" fontId="6" fillId="15" borderId="1" xfId="0" applyFont="1" applyFill="1" applyBorder="1" applyAlignment="1">
      <alignment horizontal="center" vertical="center" wrapText="1"/>
    </xf>
    <xf numFmtId="0" fontId="6" fillId="15" borderId="2"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1" fillId="5" borderId="2" xfId="0" applyFont="1" applyFill="1" applyBorder="1" applyAlignment="1">
      <alignment horizontal="left"/>
    </xf>
    <xf numFmtId="0" fontId="11" fillId="5" borderId="13" xfId="0" applyFont="1" applyFill="1" applyBorder="1" applyAlignment="1">
      <alignment horizontal="left"/>
    </xf>
    <xf numFmtId="0" fontId="11" fillId="5" borderId="5" xfId="0" applyFont="1" applyFill="1" applyBorder="1" applyAlignment="1">
      <alignment horizontal="left"/>
    </xf>
    <xf numFmtId="0" fontId="11" fillId="5" borderId="16" xfId="0" applyFont="1" applyFill="1" applyBorder="1" applyAlignment="1">
      <alignment horizontal="left"/>
    </xf>
    <xf numFmtId="0" fontId="11" fillId="5" borderId="17" xfId="0" applyFont="1" applyFill="1" applyBorder="1" applyAlignment="1">
      <alignment horizontal="left"/>
    </xf>
    <xf numFmtId="0" fontId="11" fillId="5" borderId="18" xfId="0" applyFont="1" applyFill="1" applyBorder="1" applyAlignment="1">
      <alignment horizontal="left"/>
    </xf>
    <xf numFmtId="0" fontId="10" fillId="0" borderId="11" xfId="0" applyFont="1" applyBorder="1" applyAlignment="1">
      <alignment horizontal="left"/>
    </xf>
    <xf numFmtId="0" fontId="10" fillId="0" borderId="8" xfId="0" applyFont="1" applyBorder="1" applyAlignment="1">
      <alignment horizontal="left"/>
    </xf>
    <xf numFmtId="0" fontId="10" fillId="0" borderId="12" xfId="0" applyFont="1" applyBorder="1" applyAlignment="1">
      <alignment horizontal="left"/>
    </xf>
    <xf numFmtId="0" fontId="10" fillId="3" borderId="2" xfId="0" applyFont="1" applyFill="1" applyBorder="1" applyAlignment="1">
      <alignment horizontal="left" vertical="center"/>
    </xf>
    <xf numFmtId="0" fontId="10" fillId="3" borderId="13" xfId="0" applyFont="1" applyFill="1" applyBorder="1" applyAlignment="1">
      <alignment horizontal="left" vertical="center"/>
    </xf>
    <xf numFmtId="0" fontId="10" fillId="3" borderId="5" xfId="0" applyFont="1" applyFill="1" applyBorder="1" applyAlignment="1">
      <alignment horizontal="left" vertical="center"/>
    </xf>
    <xf numFmtId="0" fontId="38" fillId="0" borderId="2" xfId="0" applyFont="1" applyBorder="1" applyAlignment="1">
      <alignment horizontal="left"/>
    </xf>
    <xf numFmtId="0" fontId="38" fillId="0" borderId="13" xfId="0" applyFont="1" applyBorder="1" applyAlignment="1">
      <alignment horizontal="left"/>
    </xf>
    <xf numFmtId="0" fontId="38" fillId="0" borderId="5" xfId="0" applyFont="1" applyBorder="1" applyAlignment="1">
      <alignment horizontal="left"/>
    </xf>
    <xf numFmtId="0" fontId="39" fillId="3" borderId="4" xfId="0" applyFont="1" applyFill="1" applyBorder="1" applyAlignment="1">
      <alignment horizontal="center" vertical="center" wrapText="1"/>
    </xf>
    <xf numFmtId="0" fontId="39" fillId="3" borderId="9" xfId="0" applyFont="1" applyFill="1" applyBorder="1" applyAlignment="1">
      <alignment horizontal="center" vertical="center" wrapText="1"/>
    </xf>
    <xf numFmtId="0" fontId="35" fillId="5" borderId="8" xfId="0" applyFont="1" applyFill="1" applyBorder="1" applyAlignment="1" applyProtection="1">
      <alignment horizontal="left" vertical="top" wrapText="1" readingOrder="1"/>
      <protection locked="0"/>
    </xf>
    <xf numFmtId="0" fontId="10" fillId="3" borderId="4"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5" xfId="0" applyFont="1" applyFill="1" applyBorder="1" applyAlignment="1">
      <alignment horizontal="center" vertical="center"/>
    </xf>
    <xf numFmtId="0" fontId="39" fillId="3" borderId="4" xfId="0" applyFont="1" applyFill="1" applyBorder="1" applyAlignment="1">
      <alignment horizontal="center" wrapText="1"/>
    </xf>
    <xf numFmtId="0" fontId="39" fillId="3" borderId="9" xfId="0" applyFont="1" applyFill="1" applyBorder="1" applyAlignment="1">
      <alignment horizontal="center" wrapText="1"/>
    </xf>
    <xf numFmtId="0" fontId="10" fillId="3" borderId="4" xfId="0" applyFont="1" applyFill="1" applyBorder="1" applyAlignment="1">
      <alignment horizontal="left" vertical="center" wrapText="1"/>
    </xf>
    <xf numFmtId="0" fontId="10" fillId="3" borderId="9" xfId="0" applyFont="1" applyFill="1" applyBorder="1" applyAlignment="1">
      <alignment horizontal="left" vertical="center" wrapText="1"/>
    </xf>
    <xf numFmtId="0" fontId="28" fillId="0" borderId="14" xfId="0" applyFont="1" applyBorder="1" applyAlignment="1">
      <alignment horizontal="left"/>
    </xf>
    <xf numFmtId="0" fontId="10" fillId="3" borderId="2" xfId="0" applyFont="1" applyFill="1" applyBorder="1" applyAlignment="1">
      <alignment vertical="center"/>
    </xf>
    <xf numFmtId="0" fontId="10" fillId="3" borderId="13" xfId="0" applyFont="1" applyFill="1" applyBorder="1" applyAlignment="1">
      <alignment vertical="center"/>
    </xf>
    <xf numFmtId="0" fontId="10" fillId="3" borderId="5" xfId="0" applyFont="1" applyFill="1" applyBorder="1" applyAlignment="1">
      <alignment vertical="center"/>
    </xf>
    <xf numFmtId="0" fontId="10" fillId="3" borderId="2" xfId="0" applyFont="1" applyFill="1" applyBorder="1" applyAlignment="1">
      <alignment horizontal="left" vertical="center" wrapText="1"/>
    </xf>
    <xf numFmtId="0" fontId="10" fillId="3" borderId="13"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1" fillId="0" borderId="2" xfId="0" applyFont="1" applyBorder="1" applyAlignment="1">
      <alignment horizontal="left"/>
    </xf>
    <xf numFmtId="0" fontId="11" fillId="0" borderId="13" xfId="0" applyFont="1" applyBorder="1" applyAlignment="1">
      <alignment horizontal="left"/>
    </xf>
    <xf numFmtId="0" fontId="11" fillId="0" borderId="5" xfId="0" applyFont="1" applyBorder="1" applyAlignment="1">
      <alignment horizontal="left"/>
    </xf>
    <xf numFmtId="0" fontId="10" fillId="0" borderId="2" xfId="0" applyFont="1" applyBorder="1" applyAlignment="1">
      <alignment horizontal="left" wrapText="1"/>
    </xf>
    <xf numFmtId="0" fontId="10" fillId="0" borderId="13" xfId="0" applyFont="1" applyBorder="1" applyAlignment="1">
      <alignment horizontal="left" wrapText="1"/>
    </xf>
    <xf numFmtId="0" fontId="10" fillId="0" borderId="5" xfId="0" applyFont="1" applyBorder="1" applyAlignment="1">
      <alignment horizontal="left" wrapText="1"/>
    </xf>
    <xf numFmtId="0" fontId="11" fillId="5" borderId="1" xfId="0" applyFont="1" applyFill="1" applyBorder="1" applyAlignment="1">
      <alignment horizontal="left"/>
    </xf>
    <xf numFmtId="0" fontId="6" fillId="5" borderId="8" xfId="0" applyFont="1" applyFill="1" applyBorder="1" applyAlignment="1">
      <alignment horizontal="left"/>
    </xf>
    <xf numFmtId="0" fontId="31" fillId="5" borderId="1" xfId="0" applyFont="1" applyFill="1" applyBorder="1" applyAlignment="1" applyProtection="1">
      <alignment horizontal="left" vertical="top" wrapText="1" readingOrder="1"/>
      <protection locked="0"/>
    </xf>
    <xf numFmtId="0" fontId="10" fillId="0" borderId="1" xfId="0" applyFont="1" applyBorder="1" applyAlignment="1">
      <alignment horizontal="left"/>
    </xf>
    <xf numFmtId="0" fontId="10" fillId="3" borderId="2" xfId="0" applyFont="1" applyFill="1" applyBorder="1" applyAlignment="1">
      <alignment horizontal="center"/>
    </xf>
    <xf numFmtId="0" fontId="10" fillId="3" borderId="13" xfId="0" applyFont="1" applyFill="1" applyBorder="1" applyAlignment="1">
      <alignment horizontal="center"/>
    </xf>
    <xf numFmtId="0" fontId="10" fillId="3" borderId="5" xfId="0" applyFont="1" applyFill="1" applyBorder="1" applyAlignment="1">
      <alignment horizontal="center"/>
    </xf>
    <xf numFmtId="0" fontId="10" fillId="3" borderId="9" xfId="0" applyFont="1" applyFill="1" applyBorder="1" applyAlignment="1">
      <alignment horizontal="center" vertical="center" wrapText="1"/>
    </xf>
    <xf numFmtId="0" fontId="10" fillId="3" borderId="4" xfId="0" applyFont="1" applyFill="1" applyBorder="1" applyAlignment="1">
      <alignment horizontal="left" vertical="center"/>
    </xf>
    <xf numFmtId="0" fontId="10" fillId="3" borderId="9" xfId="0" applyFont="1" applyFill="1" applyBorder="1" applyAlignment="1">
      <alignment horizontal="left" vertical="center"/>
    </xf>
    <xf numFmtId="0" fontId="10" fillId="3" borderId="3"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28" fillId="0" borderId="0" xfId="0" applyFont="1" applyBorder="1" applyAlignment="1">
      <alignment horizontal="left"/>
    </xf>
    <xf numFmtId="0" fontId="20" fillId="0" borderId="8" xfId="0" applyFont="1" applyBorder="1" applyAlignment="1">
      <alignment horizontal="left" vertical="center" wrapText="1" readingOrder="1"/>
    </xf>
    <xf numFmtId="9" fontId="38" fillId="0" borderId="1" xfId="9" applyFont="1" applyBorder="1" applyAlignment="1">
      <alignment horizontal="center" vertical="center"/>
    </xf>
    <xf numFmtId="0" fontId="18" fillId="3" borderId="2" xfId="3" applyFont="1" applyFill="1" applyBorder="1" applyAlignment="1">
      <alignment horizontal="center" vertical="center"/>
    </xf>
    <xf numFmtId="0" fontId="18" fillId="3" borderId="5" xfId="3" applyFont="1" applyFill="1" applyBorder="1" applyAlignment="1">
      <alignment horizontal="center" vertical="center"/>
    </xf>
    <xf numFmtId="0" fontId="26" fillId="3" borderId="4" xfId="0" applyFont="1" applyFill="1" applyBorder="1" applyAlignment="1">
      <alignment horizontal="left" vertical="center" readingOrder="1"/>
    </xf>
    <xf numFmtId="0" fontId="26" fillId="3" borderId="9" xfId="0" applyFont="1" applyFill="1" applyBorder="1" applyAlignment="1">
      <alignment horizontal="left" vertical="center" readingOrder="1"/>
    </xf>
    <xf numFmtId="0" fontId="10" fillId="3" borderId="2" xfId="2" applyFont="1" applyFill="1" applyBorder="1" applyAlignment="1">
      <alignment horizontal="center" vertical="center" wrapText="1"/>
    </xf>
    <xf numFmtId="0" fontId="10" fillId="3" borderId="5" xfId="2" applyFont="1" applyFill="1" applyBorder="1" applyAlignment="1">
      <alignment horizontal="center" vertical="center" wrapText="1"/>
    </xf>
    <xf numFmtId="0" fontId="20" fillId="0" borderId="8" xfId="0" applyFont="1" applyBorder="1" applyAlignment="1">
      <alignment horizontal="left" vertical="center" readingOrder="1"/>
    </xf>
    <xf numFmtId="0" fontId="46" fillId="0" borderId="0" xfId="0" applyFont="1" applyBorder="1" applyAlignment="1">
      <alignment horizontal="left" vertical="center" wrapText="1"/>
    </xf>
    <xf numFmtId="0" fontId="6" fillId="15" borderId="29" xfId="3" applyFont="1" applyFill="1" applyBorder="1" applyAlignment="1">
      <alignment horizontal="center" vertical="center" wrapText="1"/>
    </xf>
    <xf numFmtId="0" fontId="6" fillId="15" borderId="0" xfId="3" applyFont="1" applyFill="1" applyBorder="1" applyAlignment="1">
      <alignment horizontal="center" vertical="center" wrapText="1"/>
    </xf>
    <xf numFmtId="0" fontId="20" fillId="0" borderId="8" xfId="16" applyFont="1" applyBorder="1" applyAlignment="1">
      <alignment horizontal="left" vertical="center" wrapText="1" readingOrder="1"/>
    </xf>
    <xf numFmtId="9" fontId="11" fillId="5" borderId="1" xfId="0" applyNumberFormat="1" applyFont="1" applyFill="1" applyBorder="1" applyAlignment="1">
      <alignment horizontal="center" vertical="center"/>
    </xf>
    <xf numFmtId="0" fontId="0" fillId="0" borderId="10" xfId="0" applyBorder="1" applyAlignment="1">
      <alignment horizontal="center" vertical="center" wrapText="1"/>
    </xf>
    <xf numFmtId="0" fontId="0" fillId="0" borderId="9" xfId="0" applyBorder="1" applyAlignment="1">
      <alignment horizontal="center" vertical="center" wrapText="1"/>
    </xf>
    <xf numFmtId="0" fontId="10" fillId="5" borderId="4" xfId="0" applyFont="1" applyFill="1" applyBorder="1" applyAlignment="1">
      <alignment horizontal="center" vertical="center" wrapText="1"/>
    </xf>
    <xf numFmtId="0" fontId="6" fillId="0" borderId="8" xfId="0" applyFont="1" applyBorder="1" applyAlignment="1">
      <alignment horizontal="left" vertical="center" wrapText="1"/>
    </xf>
  </cellXfs>
  <cellStyles count="19">
    <cellStyle name="Commentaire 2" xfId="1"/>
    <cellStyle name="Lien hypertexte" xfId="17" builtinId="8"/>
    <cellStyle name="Normal" xfId="0" builtinId="0"/>
    <cellStyle name="Normal 19" xfId="13"/>
    <cellStyle name="Normal 2" xfId="2"/>
    <cellStyle name="Normal 2 2" xfId="3"/>
    <cellStyle name="Normal 2 3" xfId="12"/>
    <cellStyle name="Normal 2 4" xfId="16"/>
    <cellStyle name="Normal 29" xfId="18"/>
    <cellStyle name="Normal 3" xfId="4"/>
    <cellStyle name="Normal 4" xfId="5"/>
    <cellStyle name="Normal 5" xfId="6"/>
    <cellStyle name="Normal 6" xfId="15"/>
    <cellStyle name="Normal_Feuil1 2" xfId="7"/>
    <cellStyle name="Normal_Feuil3" xfId="14"/>
    <cellStyle name="Normal_Origine doct." xfId="8"/>
    <cellStyle name="Pourcentage" xfId="9" builtinId="5"/>
    <cellStyle name="Pourcentage 2" xfId="10"/>
    <cellStyle name="Pourcentage 3" xfId="1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4682B4"/>
      <rgbColor rgb="00D3D3D3"/>
      <rgbColor rgb="00FFFFFF"/>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9.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a:pPr>
            <a:r>
              <a:rPr lang="fr-FR" sz="1400" b="1" i="0" u="none" strike="noStrike" baseline="0">
                <a:effectLst/>
                <a:latin typeface="Arial" panose="020B0604020202020204" pitchFamily="34" charset="0"/>
                <a:cs typeface="Arial" panose="020B0604020202020204" pitchFamily="34" charset="0"/>
              </a:rPr>
              <a:t>01 : Évolution</a:t>
            </a:r>
            <a:r>
              <a:rPr lang="fr-FR" sz="1400" b="1" i="0" u="none" strike="noStrike" baseline="0">
                <a:effectLst/>
              </a:rPr>
              <a:t> </a:t>
            </a:r>
            <a:r>
              <a:rPr lang="fr-FR" sz="1400" b="1"/>
              <a:t>du nombre de Cifre</a:t>
            </a:r>
          </a:p>
        </c:rich>
      </c:tx>
      <c:layout>
        <c:manualLayout>
          <c:xMode val="edge"/>
          <c:yMode val="edge"/>
          <c:x val="0.32690534417857053"/>
          <c:y val="2.673239270954095E-6"/>
        </c:manualLayout>
      </c:layout>
      <c:overlay val="0"/>
      <c:spPr>
        <a:noFill/>
        <a:ln w="25400">
          <a:noFill/>
        </a:ln>
      </c:spPr>
    </c:title>
    <c:autoTitleDeleted val="0"/>
    <c:plotArea>
      <c:layout>
        <c:manualLayout>
          <c:layoutTarget val="inner"/>
          <c:xMode val="edge"/>
          <c:yMode val="edge"/>
          <c:x val="5.7726179260370894E-2"/>
          <c:y val="1.2185770270982447E-2"/>
          <c:w val="0.92646385970566592"/>
          <c:h val="0.86558780320990747"/>
        </c:manualLayout>
      </c:layout>
      <c:lineChart>
        <c:grouping val="standard"/>
        <c:varyColors val="0"/>
        <c:ser>
          <c:idx val="0"/>
          <c:order val="0"/>
          <c:tx>
            <c:strRef>
              <c:f>'Evol Cifre'!$B$2</c:f>
              <c:strCache>
                <c:ptCount val="1"/>
                <c:pt idx="0">
                  <c:v>Dossiers reçus</c:v>
                </c:pt>
              </c:strCache>
            </c:strRef>
          </c:tx>
          <c:spPr>
            <a:ln w="28575">
              <a:solidFill>
                <a:schemeClr val="tx1"/>
              </a:solidFill>
              <a:prstDash val="solid"/>
            </a:ln>
          </c:spPr>
          <c:marker>
            <c:symbol val="diamond"/>
            <c:size val="6"/>
            <c:spPr>
              <a:solidFill>
                <a:srgbClr val="993300"/>
              </a:solidFill>
              <a:ln>
                <a:solidFill>
                  <a:srgbClr val="993300"/>
                </a:solidFill>
                <a:prstDash val="solid"/>
              </a:ln>
            </c:spPr>
          </c:marker>
          <c:dLbls>
            <c:dLbl>
              <c:idx val="9"/>
              <c:layout>
                <c:manualLayout>
                  <c:x val="-5.4660818553443555E-2"/>
                  <c:y val="-3.2617746211333259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0F97-47E5-9CCF-16BF97CCCB51}"/>
                </c:ext>
              </c:extLst>
            </c:dLbl>
            <c:dLbl>
              <c:idx val="19"/>
              <c:layout>
                <c:manualLayout>
                  <c:x val="-2.5378237185527366E-2"/>
                  <c:y val="-3.5879520832466538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0F97-47E5-9CCF-16BF97CCCB51}"/>
                </c:ext>
              </c:extLst>
            </c:dLbl>
            <c:spPr>
              <a:noFill/>
              <a:ln>
                <a:noFill/>
              </a:ln>
              <a:effectLst/>
            </c:spPr>
            <c:txPr>
              <a:bodyPr wrap="square" lIns="38100" tIns="19050" rIns="38100" bIns="19050" anchor="ctr">
                <a:spAutoFit/>
              </a:bodyPr>
              <a:lstStyle/>
              <a:p>
                <a:pPr>
                  <a:defRPr b="1"/>
                </a:pPr>
                <a:endParaRPr lang="fr-FR"/>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ext>
            </c:extLst>
          </c:dLbls>
          <c:cat>
            <c:strRef>
              <c:f>'Evol Cifre'!$A$3:$A$22</c:f>
              <c:strCach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strCache>
            </c:strRef>
          </c:cat>
          <c:val>
            <c:numRef>
              <c:f>'Evol Cifre'!$B$3:$B$22</c:f>
              <c:numCache>
                <c:formatCode>#,##0</c:formatCode>
                <c:ptCount val="20"/>
                <c:pt idx="0">
                  <c:v>789</c:v>
                </c:pt>
                <c:pt idx="1">
                  <c:v>858</c:v>
                </c:pt>
                <c:pt idx="2">
                  <c:v>837</c:v>
                </c:pt>
                <c:pt idx="3">
                  <c:v>957</c:v>
                </c:pt>
                <c:pt idx="4">
                  <c:v>1071</c:v>
                </c:pt>
                <c:pt idx="5">
                  <c:v>1130</c:v>
                </c:pt>
                <c:pt idx="6">
                  <c:v>1171</c:v>
                </c:pt>
                <c:pt idx="7">
                  <c:v>1218</c:v>
                </c:pt>
                <c:pt idx="8">
                  <c:v>1351</c:v>
                </c:pt>
                <c:pt idx="9">
                  <c:v>1354</c:v>
                </c:pt>
                <c:pt idx="10">
                  <c:v>1644</c:v>
                </c:pt>
                <c:pt idx="11">
                  <c:v>1750</c:v>
                </c:pt>
                <c:pt idx="12">
                  <c:v>1665</c:v>
                </c:pt>
                <c:pt idx="13">
                  <c:v>1575</c:v>
                </c:pt>
                <c:pt idx="14">
                  <c:v>1511</c:v>
                </c:pt>
                <c:pt idx="15">
                  <c:v>1542</c:v>
                </c:pt>
                <c:pt idx="16">
                  <c:v>1641</c:v>
                </c:pt>
                <c:pt idx="17">
                  <c:v>1813</c:v>
                </c:pt>
                <c:pt idx="18">
                  <c:v>1924</c:v>
                </c:pt>
                <c:pt idx="19">
                  <c:v>2022</c:v>
                </c:pt>
              </c:numCache>
            </c:numRef>
          </c:val>
          <c:smooth val="0"/>
          <c:extLst xmlns:c16r2="http://schemas.microsoft.com/office/drawing/2015/06/chart">
            <c:ext xmlns:c16="http://schemas.microsoft.com/office/drawing/2014/chart" uri="{C3380CC4-5D6E-409C-BE32-E72D297353CC}">
              <c16:uniqueId val="{00000000-582F-43D0-94B5-8331434C13F6}"/>
            </c:ext>
          </c:extLst>
        </c:ser>
        <c:ser>
          <c:idx val="1"/>
          <c:order val="1"/>
          <c:tx>
            <c:strRef>
              <c:f>'Evol Cifre'!$C$2</c:f>
              <c:strCache>
                <c:ptCount val="1"/>
                <c:pt idx="0">
                  <c:v>Cifre allouées</c:v>
                </c:pt>
              </c:strCache>
            </c:strRef>
          </c:tx>
          <c:spPr>
            <a:ln w="28575">
              <a:solidFill>
                <a:schemeClr val="tx1"/>
              </a:solidFill>
              <a:prstDash val="solid"/>
            </a:ln>
          </c:spPr>
          <c:marker>
            <c:symbol val="square"/>
            <c:size val="6"/>
            <c:spPr>
              <a:solidFill>
                <a:srgbClr val="FF6600"/>
              </a:solidFill>
              <a:ln>
                <a:solidFill>
                  <a:srgbClr val="FF6600"/>
                </a:solidFill>
                <a:prstDash val="solid"/>
              </a:ln>
            </c:spPr>
          </c:marker>
          <c:dLbls>
            <c:dLbl>
              <c:idx val="9"/>
              <c:layout>
                <c:manualLayout>
                  <c:x val="-4.0995613915082663E-2"/>
                  <c:y val="3.9141295453599845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0F97-47E5-9CCF-16BF97CCCB51}"/>
                </c:ext>
              </c:extLst>
            </c:dLbl>
            <c:dLbl>
              <c:idx val="19"/>
              <c:layout>
                <c:manualLayout>
                  <c:x val="-1.3665204638360889E-2"/>
                  <c:y val="4.8926619316999743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0F97-47E5-9CCF-16BF97CCCB51}"/>
                </c:ext>
              </c:extLst>
            </c:dLbl>
            <c:spPr>
              <a:noFill/>
              <a:ln>
                <a:noFill/>
              </a:ln>
              <a:effectLst/>
            </c:spPr>
            <c:txPr>
              <a:bodyPr wrap="square" lIns="38100" tIns="19050" rIns="38100" bIns="19050" anchor="ctr">
                <a:spAutoFit/>
              </a:bodyPr>
              <a:lstStyle/>
              <a:p>
                <a:pPr>
                  <a:defRPr b="1"/>
                </a:pPr>
                <a:endParaRPr lang="fr-FR"/>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strRef>
              <c:f>'Evol Cifre'!$A$3:$A$22</c:f>
              <c:strCache>
                <c:ptCount val="20"/>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strCache>
            </c:strRef>
          </c:cat>
          <c:val>
            <c:numRef>
              <c:f>'Evol Cifre'!$C$3:$C$22</c:f>
              <c:numCache>
                <c:formatCode>#,##0</c:formatCode>
                <c:ptCount val="20"/>
                <c:pt idx="0">
                  <c:v>711</c:v>
                </c:pt>
                <c:pt idx="1">
                  <c:v>745</c:v>
                </c:pt>
                <c:pt idx="2">
                  <c:v>799</c:v>
                </c:pt>
                <c:pt idx="3">
                  <c:v>836</c:v>
                </c:pt>
                <c:pt idx="4">
                  <c:v>979</c:v>
                </c:pt>
                <c:pt idx="5">
                  <c:v>1052</c:v>
                </c:pt>
                <c:pt idx="6">
                  <c:v>1097</c:v>
                </c:pt>
                <c:pt idx="7">
                  <c:v>1144</c:v>
                </c:pt>
                <c:pt idx="8">
                  <c:v>1256</c:v>
                </c:pt>
                <c:pt idx="9">
                  <c:v>1200</c:v>
                </c:pt>
                <c:pt idx="10">
                  <c:v>1200</c:v>
                </c:pt>
                <c:pt idx="11">
                  <c:v>1300</c:v>
                </c:pt>
                <c:pt idx="12">
                  <c:v>1378</c:v>
                </c:pt>
                <c:pt idx="13">
                  <c:v>1237</c:v>
                </c:pt>
                <c:pt idx="14">
                  <c:v>1371</c:v>
                </c:pt>
                <c:pt idx="15">
                  <c:v>1383</c:v>
                </c:pt>
                <c:pt idx="16">
                  <c:v>1377</c:v>
                </c:pt>
                <c:pt idx="17">
                  <c:v>1433</c:v>
                </c:pt>
                <c:pt idx="18">
                  <c:v>1500</c:v>
                </c:pt>
                <c:pt idx="19">
                  <c:v>1450</c:v>
                </c:pt>
              </c:numCache>
            </c:numRef>
          </c:val>
          <c:smooth val="0"/>
          <c:extLst xmlns:c16r2="http://schemas.microsoft.com/office/drawing/2015/06/chart">
            <c:ext xmlns:c16="http://schemas.microsoft.com/office/drawing/2014/chart" uri="{C3380CC4-5D6E-409C-BE32-E72D297353CC}">
              <c16:uniqueId val="{00000001-582F-43D0-94B5-8331434C13F6}"/>
            </c:ext>
          </c:extLst>
        </c:ser>
        <c:dLbls>
          <c:showLegendKey val="0"/>
          <c:showVal val="0"/>
          <c:showCatName val="0"/>
          <c:showSerName val="0"/>
          <c:showPercent val="0"/>
          <c:showBubbleSize val="0"/>
        </c:dLbls>
        <c:marker val="1"/>
        <c:smooth val="0"/>
        <c:axId val="295548032"/>
        <c:axId val="295549568"/>
      </c:lineChart>
      <c:catAx>
        <c:axId val="2955480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a:pPr>
            <a:endParaRPr lang="fr-FR"/>
          </a:p>
        </c:txPr>
        <c:crossAx val="295549568"/>
        <c:crosses val="autoZero"/>
        <c:auto val="1"/>
        <c:lblAlgn val="ctr"/>
        <c:lblOffset val="100"/>
        <c:tickLblSkip val="1"/>
        <c:tickMarkSkip val="1"/>
        <c:noMultiLvlLbl val="0"/>
      </c:catAx>
      <c:valAx>
        <c:axId val="295549568"/>
        <c:scaling>
          <c:orientation val="minMax"/>
        </c:scaling>
        <c:delete val="0"/>
        <c:axPos val="l"/>
        <c:majorGridlines>
          <c:spPr>
            <a:ln w="3175">
              <a:solidFill>
                <a:srgbClr val="333333"/>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a:pPr>
            <a:endParaRPr lang="fr-FR"/>
          </a:p>
        </c:txPr>
        <c:crossAx val="295548032"/>
        <c:crosses val="autoZero"/>
        <c:crossBetween val="midCat"/>
      </c:valAx>
      <c:spPr>
        <a:solidFill>
          <a:srgbClr val="FFFFFF"/>
        </a:solidFill>
        <a:ln w="12700">
          <a:solidFill>
            <a:srgbClr val="FFFFFF"/>
          </a:solidFill>
          <a:prstDash val="solid"/>
        </a:ln>
      </c:spPr>
    </c:plotArea>
    <c:legend>
      <c:legendPos val="r"/>
      <c:layout>
        <c:manualLayout>
          <c:xMode val="edge"/>
          <c:yMode val="edge"/>
          <c:x val="0.67015365454193687"/>
          <c:y val="0.55307964801840415"/>
          <c:w val="0.22304296466147899"/>
          <c:h val="0.17057591681636811"/>
        </c:manualLayout>
      </c:layout>
      <c:overlay val="0"/>
      <c:spPr>
        <a:solidFill>
          <a:srgbClr val="FFFFFF"/>
        </a:solidFill>
        <a:ln w="3175">
          <a:solidFill>
            <a:schemeClr val="bg1">
              <a:lumMod val="85000"/>
            </a:schemeClr>
          </a:solidFill>
          <a:prstDash val="solid"/>
        </a:ln>
      </c:spPr>
    </c:legend>
    <c:plotVisOnly val="1"/>
    <c:dispBlanksAs val="gap"/>
    <c:showDLblsOverMax val="0"/>
  </c:chart>
  <c:spPr>
    <a:solidFill>
      <a:srgbClr val="FFFFFF"/>
    </a:solidFill>
    <a:ln w="3175">
      <a:solidFill>
        <a:srgbClr val="000000"/>
      </a:solidFill>
      <a:prstDash val="solid"/>
    </a:ln>
  </c:spPr>
  <c:txPr>
    <a:bodyPr/>
    <a:lstStyle/>
    <a:p>
      <a:pPr>
        <a:defRPr sz="900" b="0" i="0" u="none" strike="noStrike" baseline="0">
          <a:solidFill>
            <a:srgbClr val="000000"/>
          </a:solidFill>
          <a:latin typeface="Arial"/>
          <a:ea typeface="Arial"/>
          <a:cs typeface="Arial"/>
        </a:defRPr>
      </a:pPr>
      <a:endParaRPr lang="fr-FR"/>
    </a:p>
  </c:txPr>
  <c:printSettings>
    <c:headerFooter alignWithMargins="0"/>
    <c:pageMargins b="0.984251969" l="0.78740157499999996" r="0.78740157499999996" t="0.984251969" header="0.4921259845" footer="0.4921259845"/>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Calibri"/>
                <a:ea typeface="Calibri"/>
                <a:cs typeface="Calibri"/>
              </a:defRPr>
            </a:pPr>
            <a:r>
              <a:rPr lang="fr-FR" sz="1400" b="1" i="0" u="none" strike="noStrike" baseline="0">
                <a:solidFill>
                  <a:srgbClr val="000000"/>
                </a:solidFill>
                <a:latin typeface="Calibri"/>
                <a:cs typeface="Calibri"/>
              </a:rPr>
              <a:t>Répartition des salaires des doctorants  CIFRE acceptés en 2019</a:t>
            </a:r>
          </a:p>
        </c:rich>
      </c:tx>
      <c:layout>
        <c:manualLayout>
          <c:xMode val="edge"/>
          <c:yMode val="edge"/>
          <c:x val="8.7468439068690562E-2"/>
          <c:y val="3.0353010607401885E-2"/>
        </c:manualLayout>
      </c:layout>
      <c:overlay val="0"/>
    </c:title>
    <c:autoTitleDeleted val="0"/>
    <c:plotArea>
      <c:layout/>
      <c:pieChart>
        <c:varyColors val="1"/>
        <c:ser>
          <c:idx val="0"/>
          <c:order val="0"/>
          <c:dPt>
            <c:idx val="0"/>
            <c:bubble3D val="0"/>
            <c:extLst xmlns:c16r2="http://schemas.microsoft.com/office/drawing/2015/06/chart">
              <c:ext xmlns:c16="http://schemas.microsoft.com/office/drawing/2014/chart" uri="{C3380CC4-5D6E-409C-BE32-E72D297353CC}">
                <c16:uniqueId val="{00000000-542A-4A2B-9269-D0929A66EDFD}"/>
              </c:ext>
            </c:extLst>
          </c:dPt>
          <c:dPt>
            <c:idx val="1"/>
            <c:bubble3D val="0"/>
            <c:extLst xmlns:c16r2="http://schemas.microsoft.com/office/drawing/2015/06/chart">
              <c:ext xmlns:c16="http://schemas.microsoft.com/office/drawing/2014/chart" uri="{C3380CC4-5D6E-409C-BE32-E72D297353CC}">
                <c16:uniqueId val="{00000001-542A-4A2B-9269-D0929A66EDFD}"/>
              </c:ext>
            </c:extLst>
          </c:dPt>
          <c:dPt>
            <c:idx val="2"/>
            <c:bubble3D val="0"/>
            <c:extLst xmlns:c16r2="http://schemas.microsoft.com/office/drawing/2015/06/chart">
              <c:ext xmlns:c16="http://schemas.microsoft.com/office/drawing/2014/chart" uri="{C3380CC4-5D6E-409C-BE32-E72D297353CC}">
                <c16:uniqueId val="{00000002-542A-4A2B-9269-D0929A66EDFD}"/>
              </c:ext>
            </c:extLst>
          </c:dPt>
          <c:dPt>
            <c:idx val="3"/>
            <c:bubble3D val="0"/>
            <c:extLst xmlns:c16r2="http://schemas.microsoft.com/office/drawing/2015/06/chart">
              <c:ext xmlns:c16="http://schemas.microsoft.com/office/drawing/2014/chart" uri="{C3380CC4-5D6E-409C-BE32-E72D297353CC}">
                <c16:uniqueId val="{00000003-542A-4A2B-9269-D0929A66EDFD}"/>
              </c:ext>
            </c:extLst>
          </c:dPt>
          <c:dPt>
            <c:idx val="4"/>
            <c:bubble3D val="0"/>
            <c:extLst xmlns:c16r2="http://schemas.microsoft.com/office/drawing/2015/06/chart">
              <c:ext xmlns:c16="http://schemas.microsoft.com/office/drawing/2014/chart" uri="{C3380CC4-5D6E-409C-BE32-E72D297353CC}">
                <c16:uniqueId val="{00000004-542A-4A2B-9269-D0929A66EDFD}"/>
              </c:ext>
            </c:extLst>
          </c:dPt>
          <c:dLbls>
            <c:dLbl>
              <c:idx val="0"/>
              <c:tx>
                <c:rich>
                  <a:bodyPr/>
                  <a:lstStyle/>
                  <a:p>
                    <a:pPr>
                      <a:defRPr sz="1000" b="1" i="0" u="none" strike="noStrike" baseline="0">
                        <a:solidFill>
                          <a:srgbClr val="000000"/>
                        </a:solidFill>
                        <a:latin typeface="Calibri"/>
                        <a:ea typeface="Calibri"/>
                        <a:cs typeface="Calibri"/>
                      </a:defRPr>
                    </a:pPr>
                    <a:r>
                      <a:rPr lang="en-US"/>
                      <a:t>11%</a:t>
                    </a:r>
                  </a:p>
                </c:rich>
              </c:tx>
              <c:spPr>
                <a:noFill/>
                <a:ln w="25400">
                  <a:noFill/>
                </a:ln>
              </c:spPr>
              <c:showLegendKey val="0"/>
              <c:showVal val="0"/>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542A-4A2B-9269-D0929A66EDFD}"/>
                </c:ext>
              </c:extLst>
            </c:dLbl>
            <c:spPr>
              <a:noFill/>
              <a:ln w="25400">
                <a:noFill/>
              </a:ln>
            </c:spPr>
            <c:txPr>
              <a:bodyPr wrap="square" lIns="38100" tIns="19050" rIns="38100" bIns="19050" anchor="ctr">
                <a:spAutoFit/>
              </a:bodyPr>
              <a:lstStyle/>
              <a:p>
                <a:pPr>
                  <a:defRPr sz="1000" b="1" i="0" u="none" strike="noStrike" baseline="0">
                    <a:solidFill>
                      <a:srgbClr val="000000"/>
                    </a:solidFill>
                    <a:latin typeface="Calibri"/>
                    <a:ea typeface="Calibri"/>
                    <a:cs typeface="Calibri"/>
                  </a:defRPr>
                </a:pPr>
                <a:endParaRPr lang="fr-FR"/>
              </a:p>
            </c:txPr>
            <c:showLegendKey val="0"/>
            <c:showVal val="0"/>
            <c:showCatName val="0"/>
            <c:showSerName val="0"/>
            <c:showPercent val="1"/>
            <c:showBubbleSize val="0"/>
            <c:showLeaderLines val="1"/>
            <c:extLst xmlns:c16r2="http://schemas.microsoft.com/office/drawing/2015/06/chart">
              <c:ext xmlns:c15="http://schemas.microsoft.com/office/drawing/2012/chart" uri="{CE6537A1-D6FC-4f65-9D91-7224C49458BB}"/>
            </c:extLst>
          </c:dLbls>
          <c:cat>
            <c:strRef>
              <c:f>Salaire!$H$4:$H$8</c:f>
              <c:strCache>
                <c:ptCount val="5"/>
                <c:pt idx="0">
                  <c:v>23 484 €</c:v>
                </c:pt>
                <c:pt idx="1">
                  <c:v>23 485 - 28 000 €</c:v>
                </c:pt>
                <c:pt idx="2">
                  <c:v>28 001 - 29 999 €</c:v>
                </c:pt>
                <c:pt idx="3">
                  <c:v>30 000 - 35 000 €</c:v>
                </c:pt>
                <c:pt idx="4">
                  <c:v>Plus de 35 000 €</c:v>
                </c:pt>
              </c:strCache>
            </c:strRef>
          </c:cat>
          <c:val>
            <c:numRef>
              <c:f>Salaire!$Q$4:$Q$8</c:f>
              <c:numCache>
                <c:formatCode>0%</c:formatCode>
                <c:ptCount val="5"/>
                <c:pt idx="0">
                  <c:v>0.10689655172413794</c:v>
                </c:pt>
                <c:pt idx="1">
                  <c:v>0.26689655172413795</c:v>
                </c:pt>
                <c:pt idx="2">
                  <c:v>5.7931034482758624E-2</c:v>
                </c:pt>
                <c:pt idx="3">
                  <c:v>0.41034482758620688</c:v>
                </c:pt>
                <c:pt idx="4">
                  <c:v>0.15793103448275861</c:v>
                </c:pt>
              </c:numCache>
            </c:numRef>
          </c:val>
          <c:extLst xmlns:c16r2="http://schemas.microsoft.com/office/drawing/2015/06/chart">
            <c:ext xmlns:c16="http://schemas.microsoft.com/office/drawing/2014/chart" uri="{C3380CC4-5D6E-409C-BE32-E72D297353CC}">
              <c16:uniqueId val="{00000005-542A-4A2B-9269-D0929A66EDFD}"/>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79390501560439275"/>
          <c:y val="0.27317558312922968"/>
          <c:w val="0.19125866729345398"/>
          <c:h val="0.65483234714003946"/>
        </c:manualLayout>
      </c:layout>
      <c:overlay val="0"/>
      <c:txPr>
        <a:bodyPr/>
        <a:lstStyle/>
        <a:p>
          <a:pPr>
            <a:defRPr sz="700" b="0" i="0" u="none" strike="noStrike" baseline="0">
              <a:solidFill>
                <a:srgbClr val="000000"/>
              </a:solidFill>
              <a:latin typeface="Calibri"/>
              <a:ea typeface="Calibri"/>
              <a:cs typeface="Calibri"/>
            </a:defRPr>
          </a:pPr>
          <a:endParaRPr lang="fr-FR"/>
        </a:p>
      </c:txPr>
    </c:legend>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fr-FR"/>
    </a:p>
  </c:txPr>
  <c:printSettings>
    <c:headerFooter/>
    <c:pageMargins b="0.75000000000000211" l="0.70000000000000062" r="0.70000000000000062" t="0.750000000000002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333333"/>
                </a:solidFill>
                <a:latin typeface="Calibri"/>
                <a:ea typeface="Calibri"/>
                <a:cs typeface="Calibri"/>
              </a:defRPr>
            </a:pPr>
            <a:r>
              <a:rPr lang="fr-FR"/>
              <a:t>Salaires des doctorants </a:t>
            </a:r>
            <a:r>
              <a:rPr lang="fr-FR" sz="1400" b="1" i="0" u="none" strike="noStrike" baseline="0">
                <a:effectLst/>
              </a:rPr>
              <a:t>CIFRE acceptés</a:t>
            </a:r>
            <a:endParaRPr lang="fr-FR"/>
          </a:p>
        </c:rich>
      </c:tx>
      <c:overlay val="0"/>
      <c:spPr>
        <a:noFill/>
        <a:ln w="25400">
          <a:noFill/>
        </a:ln>
      </c:spPr>
    </c:title>
    <c:autoTitleDeleted val="0"/>
    <c:plotArea>
      <c:layout>
        <c:manualLayout>
          <c:layoutTarget val="inner"/>
          <c:xMode val="edge"/>
          <c:yMode val="edge"/>
          <c:x val="7.013061420419793E-2"/>
          <c:y val="0.13152482269503546"/>
          <c:w val="0.80995033253586668"/>
          <c:h val="0.6178227721534808"/>
        </c:manualLayout>
      </c:layout>
      <c:barChart>
        <c:barDir val="col"/>
        <c:grouping val="clustered"/>
        <c:varyColors val="0"/>
        <c:ser>
          <c:idx val="0"/>
          <c:order val="0"/>
          <c:tx>
            <c:strRef>
              <c:f>Salaire!$I$3</c:f>
              <c:strCache>
                <c:ptCount val="1"/>
                <c:pt idx="0">
                  <c:v>2013</c:v>
                </c:pt>
              </c:strCache>
            </c:strRef>
          </c:tx>
          <c:spPr>
            <a:solidFill>
              <a:srgbClr val="5B9BD5"/>
            </a:solidFill>
            <a:ln w="25400">
              <a:noFill/>
            </a:ln>
          </c:spPr>
          <c:invertIfNegative val="0"/>
          <c:cat>
            <c:strRef>
              <c:f>Salaire!$H$4:$H$8</c:f>
              <c:strCache>
                <c:ptCount val="5"/>
                <c:pt idx="0">
                  <c:v>23 484 €</c:v>
                </c:pt>
                <c:pt idx="1">
                  <c:v>23 485 - 28 000 €</c:v>
                </c:pt>
                <c:pt idx="2">
                  <c:v>28 001 - 29 999 €</c:v>
                </c:pt>
                <c:pt idx="3">
                  <c:v>30 000 - 35 000 €</c:v>
                </c:pt>
                <c:pt idx="4">
                  <c:v>Plus de 35 000 €</c:v>
                </c:pt>
              </c:strCache>
            </c:strRef>
          </c:cat>
          <c:val>
            <c:numRef>
              <c:f>Salaire!$I$4:$I$8</c:f>
              <c:numCache>
                <c:formatCode>General</c:formatCode>
                <c:ptCount val="5"/>
                <c:pt idx="0">
                  <c:v>154</c:v>
                </c:pt>
                <c:pt idx="1">
                  <c:v>462</c:v>
                </c:pt>
                <c:pt idx="2">
                  <c:v>248</c:v>
                </c:pt>
                <c:pt idx="3">
                  <c:v>306</c:v>
                </c:pt>
                <c:pt idx="4">
                  <c:v>67</c:v>
                </c:pt>
              </c:numCache>
            </c:numRef>
          </c:val>
          <c:extLst xmlns:c16r2="http://schemas.microsoft.com/office/drawing/2015/06/chart">
            <c:ext xmlns:c16="http://schemas.microsoft.com/office/drawing/2014/chart" uri="{C3380CC4-5D6E-409C-BE32-E72D297353CC}">
              <c16:uniqueId val="{00000000-3681-4975-B441-976DC087945E}"/>
            </c:ext>
          </c:extLst>
        </c:ser>
        <c:ser>
          <c:idx val="1"/>
          <c:order val="1"/>
          <c:tx>
            <c:strRef>
              <c:f>Salaire!$J$3</c:f>
              <c:strCache>
                <c:ptCount val="1"/>
                <c:pt idx="0">
                  <c:v>2014</c:v>
                </c:pt>
              </c:strCache>
            </c:strRef>
          </c:tx>
          <c:spPr>
            <a:solidFill>
              <a:srgbClr val="ED7D31"/>
            </a:solidFill>
            <a:ln w="25400">
              <a:noFill/>
            </a:ln>
          </c:spPr>
          <c:invertIfNegative val="0"/>
          <c:cat>
            <c:strRef>
              <c:f>Salaire!$H$4:$H$8</c:f>
              <c:strCache>
                <c:ptCount val="5"/>
                <c:pt idx="0">
                  <c:v>23 484 €</c:v>
                </c:pt>
                <c:pt idx="1">
                  <c:v>23 485 - 28 000 €</c:v>
                </c:pt>
                <c:pt idx="2">
                  <c:v>28 001 - 29 999 €</c:v>
                </c:pt>
                <c:pt idx="3">
                  <c:v>30 000 - 35 000 €</c:v>
                </c:pt>
                <c:pt idx="4">
                  <c:v>Plus de 35 000 €</c:v>
                </c:pt>
              </c:strCache>
            </c:strRef>
          </c:cat>
          <c:val>
            <c:numRef>
              <c:f>Salaire!$J$4:$J$8</c:f>
              <c:numCache>
                <c:formatCode>General</c:formatCode>
                <c:ptCount val="5"/>
                <c:pt idx="0">
                  <c:v>168</c:v>
                </c:pt>
                <c:pt idx="1">
                  <c:v>490</c:v>
                </c:pt>
                <c:pt idx="2">
                  <c:v>258</c:v>
                </c:pt>
                <c:pt idx="3">
                  <c:v>330</c:v>
                </c:pt>
                <c:pt idx="4">
                  <c:v>106</c:v>
                </c:pt>
              </c:numCache>
            </c:numRef>
          </c:val>
          <c:extLst xmlns:c16r2="http://schemas.microsoft.com/office/drawing/2015/06/chart">
            <c:ext xmlns:c16="http://schemas.microsoft.com/office/drawing/2014/chart" uri="{C3380CC4-5D6E-409C-BE32-E72D297353CC}">
              <c16:uniqueId val="{00000001-3681-4975-B441-976DC087945E}"/>
            </c:ext>
          </c:extLst>
        </c:ser>
        <c:ser>
          <c:idx val="2"/>
          <c:order val="2"/>
          <c:tx>
            <c:strRef>
              <c:f>Salaire!$K$3</c:f>
              <c:strCache>
                <c:ptCount val="1"/>
                <c:pt idx="0">
                  <c:v>2015</c:v>
                </c:pt>
              </c:strCache>
            </c:strRef>
          </c:tx>
          <c:spPr>
            <a:solidFill>
              <a:srgbClr val="A5A5A5"/>
            </a:solidFill>
            <a:ln w="25400">
              <a:noFill/>
            </a:ln>
          </c:spPr>
          <c:invertIfNegative val="0"/>
          <c:cat>
            <c:strRef>
              <c:f>Salaire!$H$4:$H$8</c:f>
              <c:strCache>
                <c:ptCount val="5"/>
                <c:pt idx="0">
                  <c:v>23 484 €</c:v>
                </c:pt>
                <c:pt idx="1">
                  <c:v>23 485 - 28 000 €</c:v>
                </c:pt>
                <c:pt idx="2">
                  <c:v>28 001 - 29 999 €</c:v>
                </c:pt>
                <c:pt idx="3">
                  <c:v>30 000 - 35 000 €</c:v>
                </c:pt>
                <c:pt idx="4">
                  <c:v>Plus de 35 000 €</c:v>
                </c:pt>
              </c:strCache>
            </c:strRef>
          </c:cat>
          <c:val>
            <c:numRef>
              <c:f>Salaire!$K$4:$K$8</c:f>
              <c:numCache>
                <c:formatCode>General</c:formatCode>
                <c:ptCount val="5"/>
                <c:pt idx="0">
                  <c:v>168</c:v>
                </c:pt>
                <c:pt idx="1">
                  <c:v>498</c:v>
                </c:pt>
                <c:pt idx="2">
                  <c:v>203</c:v>
                </c:pt>
                <c:pt idx="3">
                  <c:v>397</c:v>
                </c:pt>
                <c:pt idx="4">
                  <c:v>117</c:v>
                </c:pt>
              </c:numCache>
            </c:numRef>
          </c:val>
          <c:extLst xmlns:c16r2="http://schemas.microsoft.com/office/drawing/2015/06/chart">
            <c:ext xmlns:c16="http://schemas.microsoft.com/office/drawing/2014/chart" uri="{C3380CC4-5D6E-409C-BE32-E72D297353CC}">
              <c16:uniqueId val="{00000002-3681-4975-B441-976DC087945E}"/>
            </c:ext>
          </c:extLst>
        </c:ser>
        <c:ser>
          <c:idx val="3"/>
          <c:order val="3"/>
          <c:tx>
            <c:strRef>
              <c:f>Salaire!$L$3</c:f>
              <c:strCache>
                <c:ptCount val="1"/>
                <c:pt idx="0">
                  <c:v>2016</c:v>
                </c:pt>
              </c:strCache>
            </c:strRef>
          </c:tx>
          <c:invertIfNegative val="0"/>
          <c:cat>
            <c:strRef>
              <c:f>Salaire!$H$4:$H$8</c:f>
              <c:strCache>
                <c:ptCount val="5"/>
                <c:pt idx="0">
                  <c:v>23 484 €</c:v>
                </c:pt>
                <c:pt idx="1">
                  <c:v>23 485 - 28 000 €</c:v>
                </c:pt>
                <c:pt idx="2">
                  <c:v>28 001 - 29 999 €</c:v>
                </c:pt>
                <c:pt idx="3">
                  <c:v>30 000 - 35 000 €</c:v>
                </c:pt>
                <c:pt idx="4">
                  <c:v>Plus de 35 000 €</c:v>
                </c:pt>
              </c:strCache>
            </c:strRef>
          </c:cat>
          <c:val>
            <c:numRef>
              <c:f>Salaire!$L$4:$L$8</c:f>
              <c:numCache>
                <c:formatCode>General</c:formatCode>
                <c:ptCount val="5"/>
                <c:pt idx="0">
                  <c:v>186</c:v>
                </c:pt>
                <c:pt idx="1">
                  <c:v>439</c:v>
                </c:pt>
                <c:pt idx="2">
                  <c:v>165</c:v>
                </c:pt>
                <c:pt idx="3">
                  <c:v>465</c:v>
                </c:pt>
                <c:pt idx="4">
                  <c:v>122</c:v>
                </c:pt>
              </c:numCache>
            </c:numRef>
          </c:val>
          <c:extLst xmlns:c16r2="http://schemas.microsoft.com/office/drawing/2015/06/chart">
            <c:ext xmlns:c16="http://schemas.microsoft.com/office/drawing/2014/chart" uri="{C3380CC4-5D6E-409C-BE32-E72D297353CC}">
              <c16:uniqueId val="{00000003-3681-4975-B441-976DC087945E}"/>
            </c:ext>
          </c:extLst>
        </c:ser>
        <c:ser>
          <c:idx val="4"/>
          <c:order val="4"/>
          <c:tx>
            <c:strRef>
              <c:f>Salaire!$M$3</c:f>
              <c:strCache>
                <c:ptCount val="1"/>
                <c:pt idx="0">
                  <c:v>2017</c:v>
                </c:pt>
              </c:strCache>
            </c:strRef>
          </c:tx>
          <c:invertIfNegative val="0"/>
          <c:cat>
            <c:strRef>
              <c:f>Salaire!$H$4:$H$8</c:f>
              <c:strCache>
                <c:ptCount val="5"/>
                <c:pt idx="0">
                  <c:v>23 484 €</c:v>
                </c:pt>
                <c:pt idx="1">
                  <c:v>23 485 - 28 000 €</c:v>
                </c:pt>
                <c:pt idx="2">
                  <c:v>28 001 - 29 999 €</c:v>
                </c:pt>
                <c:pt idx="3">
                  <c:v>30 000 - 35 000 €</c:v>
                </c:pt>
                <c:pt idx="4">
                  <c:v>Plus de 35 000 €</c:v>
                </c:pt>
              </c:strCache>
            </c:strRef>
          </c:cat>
          <c:val>
            <c:numRef>
              <c:f>Salaire!$M$4:$M$8</c:f>
              <c:numCache>
                <c:formatCode>General</c:formatCode>
                <c:ptCount val="5"/>
                <c:pt idx="0">
                  <c:v>156</c:v>
                </c:pt>
                <c:pt idx="1">
                  <c:v>435</c:v>
                </c:pt>
                <c:pt idx="2">
                  <c:v>169</c:v>
                </c:pt>
                <c:pt idx="3">
                  <c:v>534</c:v>
                </c:pt>
                <c:pt idx="4">
                  <c:v>139</c:v>
                </c:pt>
              </c:numCache>
            </c:numRef>
          </c:val>
          <c:extLst xmlns:c16r2="http://schemas.microsoft.com/office/drawing/2015/06/chart">
            <c:ext xmlns:c16="http://schemas.microsoft.com/office/drawing/2014/chart" uri="{C3380CC4-5D6E-409C-BE32-E72D297353CC}">
              <c16:uniqueId val="{00000004-3681-4975-B441-976DC087945E}"/>
            </c:ext>
          </c:extLst>
        </c:ser>
        <c:ser>
          <c:idx val="5"/>
          <c:order val="5"/>
          <c:tx>
            <c:strRef>
              <c:f>Salaire!$N$3</c:f>
              <c:strCache>
                <c:ptCount val="1"/>
                <c:pt idx="0">
                  <c:v>2018</c:v>
                </c:pt>
              </c:strCache>
            </c:strRef>
          </c:tx>
          <c:invertIfNegative val="0"/>
          <c:cat>
            <c:strRef>
              <c:f>Salaire!$H$4:$H$8</c:f>
              <c:strCache>
                <c:ptCount val="5"/>
                <c:pt idx="0">
                  <c:v>23 484 €</c:v>
                </c:pt>
                <c:pt idx="1">
                  <c:v>23 485 - 28 000 €</c:v>
                </c:pt>
                <c:pt idx="2">
                  <c:v>28 001 - 29 999 €</c:v>
                </c:pt>
                <c:pt idx="3">
                  <c:v>30 000 - 35 000 €</c:v>
                </c:pt>
                <c:pt idx="4">
                  <c:v>Plus de 35 000 €</c:v>
                </c:pt>
              </c:strCache>
            </c:strRef>
          </c:cat>
          <c:val>
            <c:numRef>
              <c:f>Salaire!$N$4:$N$8</c:f>
              <c:numCache>
                <c:formatCode>General</c:formatCode>
                <c:ptCount val="5"/>
                <c:pt idx="0">
                  <c:v>158</c:v>
                </c:pt>
                <c:pt idx="1">
                  <c:v>451</c:v>
                </c:pt>
                <c:pt idx="2">
                  <c:v>159</c:v>
                </c:pt>
                <c:pt idx="3">
                  <c:v>553</c:v>
                </c:pt>
                <c:pt idx="4">
                  <c:v>179</c:v>
                </c:pt>
              </c:numCache>
            </c:numRef>
          </c:val>
          <c:extLst xmlns:c16r2="http://schemas.microsoft.com/office/drawing/2015/06/chart">
            <c:ext xmlns:c16="http://schemas.microsoft.com/office/drawing/2014/chart" uri="{C3380CC4-5D6E-409C-BE32-E72D297353CC}">
              <c16:uniqueId val="{00000005-3681-4975-B441-976DC087945E}"/>
            </c:ext>
          </c:extLst>
        </c:ser>
        <c:ser>
          <c:idx val="6"/>
          <c:order val="6"/>
          <c:tx>
            <c:strRef>
              <c:f>Salaire!$O$3</c:f>
              <c:strCache>
                <c:ptCount val="1"/>
                <c:pt idx="0">
                  <c:v>2019</c:v>
                </c:pt>
              </c:strCache>
            </c:strRef>
          </c:tx>
          <c:invertIfNegative val="0"/>
          <c:cat>
            <c:strRef>
              <c:f>Salaire!$H$4:$H$8</c:f>
              <c:strCache>
                <c:ptCount val="5"/>
                <c:pt idx="0">
                  <c:v>23 484 €</c:v>
                </c:pt>
                <c:pt idx="1">
                  <c:v>23 485 - 28 000 €</c:v>
                </c:pt>
                <c:pt idx="2">
                  <c:v>28 001 - 29 999 €</c:v>
                </c:pt>
                <c:pt idx="3">
                  <c:v>30 000 - 35 000 €</c:v>
                </c:pt>
                <c:pt idx="4">
                  <c:v>Plus de 35 000 €</c:v>
                </c:pt>
              </c:strCache>
            </c:strRef>
          </c:cat>
          <c:val>
            <c:numRef>
              <c:f>Salaire!$O$4:$O$8</c:f>
              <c:numCache>
                <c:formatCode>General</c:formatCode>
                <c:ptCount val="5"/>
                <c:pt idx="0">
                  <c:v>155</c:v>
                </c:pt>
                <c:pt idx="1">
                  <c:v>387</c:v>
                </c:pt>
                <c:pt idx="2">
                  <c:v>84</c:v>
                </c:pt>
                <c:pt idx="3">
                  <c:v>595</c:v>
                </c:pt>
                <c:pt idx="4">
                  <c:v>229</c:v>
                </c:pt>
              </c:numCache>
            </c:numRef>
          </c:val>
          <c:extLst xmlns:c16r2="http://schemas.microsoft.com/office/drawing/2015/06/chart">
            <c:ext xmlns:c16="http://schemas.microsoft.com/office/drawing/2014/chart" uri="{C3380CC4-5D6E-409C-BE32-E72D297353CC}">
              <c16:uniqueId val="{00000006-3681-4975-B441-976DC087945E}"/>
            </c:ext>
          </c:extLst>
        </c:ser>
        <c:dLbls>
          <c:showLegendKey val="0"/>
          <c:showVal val="0"/>
          <c:showCatName val="0"/>
          <c:showSerName val="0"/>
          <c:showPercent val="0"/>
          <c:showBubbleSize val="0"/>
        </c:dLbls>
        <c:gapWidth val="219"/>
        <c:overlap val="-27"/>
        <c:axId val="298237312"/>
        <c:axId val="298243200"/>
      </c:barChart>
      <c:catAx>
        <c:axId val="298237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Calibri"/>
                <a:ea typeface="Calibri"/>
                <a:cs typeface="Calibri"/>
              </a:defRPr>
            </a:pPr>
            <a:endParaRPr lang="fr-FR"/>
          </a:p>
        </c:txPr>
        <c:crossAx val="298243200"/>
        <c:crosses val="autoZero"/>
        <c:auto val="1"/>
        <c:lblAlgn val="ctr"/>
        <c:lblOffset val="100"/>
        <c:noMultiLvlLbl val="0"/>
      </c:catAx>
      <c:valAx>
        <c:axId val="29824320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0" vert="horz"/>
          <a:lstStyle/>
          <a:p>
            <a:pPr>
              <a:defRPr sz="900" b="0" i="0" u="none" strike="noStrike" baseline="0">
                <a:solidFill>
                  <a:srgbClr val="333333"/>
                </a:solidFill>
                <a:latin typeface="Calibri"/>
                <a:ea typeface="Calibri"/>
                <a:cs typeface="Calibri"/>
              </a:defRPr>
            </a:pPr>
            <a:endParaRPr lang="fr-FR"/>
          </a:p>
        </c:txPr>
        <c:crossAx val="298237312"/>
        <c:crosses val="autoZero"/>
        <c:crossBetween val="between"/>
      </c:valAx>
      <c:spPr>
        <a:noFill/>
        <a:ln w="25400">
          <a:noFill/>
        </a:ln>
      </c:spPr>
    </c:plotArea>
    <c:legend>
      <c:legendPos val="r"/>
      <c:layout>
        <c:manualLayout>
          <c:xMode val="edge"/>
          <c:yMode val="edge"/>
          <c:x val="8.663026877737845E-2"/>
          <c:y val="0.85297138369212799"/>
          <c:w val="0.91336973122262155"/>
          <c:h val="0.10951795987138435"/>
        </c:manualLayout>
      </c:layout>
      <c:overlay val="0"/>
      <c:spPr>
        <a:noFill/>
        <a:ln w="25400">
          <a:noFill/>
        </a:ln>
      </c:spPr>
      <c:txPr>
        <a:bodyPr/>
        <a:lstStyle/>
        <a:p>
          <a:pPr>
            <a:defRPr sz="440" b="0" i="0" u="none" strike="noStrike" baseline="0">
              <a:solidFill>
                <a:srgbClr val="333333"/>
              </a:solidFill>
              <a:latin typeface="Calibri"/>
              <a:ea typeface="Calibri"/>
              <a:cs typeface="Calibri"/>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Salaire!$H$12</c:f>
              <c:strCache>
                <c:ptCount val="1"/>
                <c:pt idx="0">
                  <c:v>Médiane</c:v>
                </c:pt>
              </c:strCache>
            </c:strRef>
          </c:tx>
          <c:marker>
            <c:symbol val="none"/>
          </c:marker>
          <c:cat>
            <c:numRef>
              <c:f>Salaire!$I$3:$O$3</c:f>
              <c:numCache>
                <c:formatCode>General</c:formatCode>
                <c:ptCount val="7"/>
                <c:pt idx="0">
                  <c:v>2013</c:v>
                </c:pt>
                <c:pt idx="1">
                  <c:v>2014</c:v>
                </c:pt>
                <c:pt idx="2">
                  <c:v>2015</c:v>
                </c:pt>
                <c:pt idx="3">
                  <c:v>2016</c:v>
                </c:pt>
                <c:pt idx="4">
                  <c:v>2017</c:v>
                </c:pt>
                <c:pt idx="5">
                  <c:v>2018</c:v>
                </c:pt>
                <c:pt idx="6">
                  <c:v>2019</c:v>
                </c:pt>
              </c:numCache>
            </c:numRef>
          </c:cat>
          <c:val>
            <c:numRef>
              <c:f>Salaire!$I$12:$O$12</c:f>
              <c:numCache>
                <c:formatCode>#,##0</c:formatCode>
                <c:ptCount val="7"/>
                <c:pt idx="0">
                  <c:v>28028</c:v>
                </c:pt>
                <c:pt idx="1">
                  <c:v>28275</c:v>
                </c:pt>
                <c:pt idx="2">
                  <c:v>28496</c:v>
                </c:pt>
                <c:pt idx="3">
                  <c:v>28932</c:v>
                </c:pt>
                <c:pt idx="4">
                  <c:v>29604</c:v>
                </c:pt>
                <c:pt idx="5">
                  <c:v>29558</c:v>
                </c:pt>
                <c:pt idx="6">
                  <c:v>30000</c:v>
                </c:pt>
              </c:numCache>
            </c:numRef>
          </c:val>
          <c:smooth val="0"/>
          <c:extLst xmlns:c16r2="http://schemas.microsoft.com/office/drawing/2015/06/chart">
            <c:ext xmlns:c16="http://schemas.microsoft.com/office/drawing/2014/chart" uri="{C3380CC4-5D6E-409C-BE32-E72D297353CC}">
              <c16:uniqueId val="{00000000-FA70-4BB3-9731-65185CD5A99B}"/>
            </c:ext>
          </c:extLst>
        </c:ser>
        <c:ser>
          <c:idx val="1"/>
          <c:order val="1"/>
          <c:tx>
            <c:strRef>
              <c:f>Salaire!$H$13</c:f>
              <c:strCache>
                <c:ptCount val="1"/>
                <c:pt idx="0">
                  <c:v>Médiane H</c:v>
                </c:pt>
              </c:strCache>
            </c:strRef>
          </c:tx>
          <c:marker>
            <c:symbol val="none"/>
          </c:marker>
          <c:cat>
            <c:numRef>
              <c:f>Salaire!$I$3:$O$3</c:f>
              <c:numCache>
                <c:formatCode>General</c:formatCode>
                <c:ptCount val="7"/>
                <c:pt idx="0">
                  <c:v>2013</c:v>
                </c:pt>
                <c:pt idx="1">
                  <c:v>2014</c:v>
                </c:pt>
                <c:pt idx="2">
                  <c:v>2015</c:v>
                </c:pt>
                <c:pt idx="3">
                  <c:v>2016</c:v>
                </c:pt>
                <c:pt idx="4">
                  <c:v>2017</c:v>
                </c:pt>
                <c:pt idx="5">
                  <c:v>2018</c:v>
                </c:pt>
                <c:pt idx="6">
                  <c:v>2019</c:v>
                </c:pt>
              </c:numCache>
            </c:numRef>
          </c:cat>
          <c:val>
            <c:numRef>
              <c:f>Salaire!$I$13:$O$13</c:f>
              <c:numCache>
                <c:formatCode>#,##0</c:formatCode>
                <c:ptCount val="7"/>
                <c:pt idx="0">
                  <c:v>28383</c:v>
                </c:pt>
                <c:pt idx="1">
                  <c:v>28668</c:v>
                </c:pt>
                <c:pt idx="2">
                  <c:v>28736</c:v>
                </c:pt>
                <c:pt idx="3">
                  <c:v>29738</c:v>
                </c:pt>
                <c:pt idx="4">
                  <c:v>30000</c:v>
                </c:pt>
                <c:pt idx="5">
                  <c:v>30000</c:v>
                </c:pt>
                <c:pt idx="6">
                  <c:v>30329</c:v>
                </c:pt>
              </c:numCache>
            </c:numRef>
          </c:val>
          <c:smooth val="0"/>
          <c:extLst xmlns:c16r2="http://schemas.microsoft.com/office/drawing/2015/06/chart">
            <c:ext xmlns:c16="http://schemas.microsoft.com/office/drawing/2014/chart" uri="{C3380CC4-5D6E-409C-BE32-E72D297353CC}">
              <c16:uniqueId val="{00000001-FA70-4BB3-9731-65185CD5A99B}"/>
            </c:ext>
          </c:extLst>
        </c:ser>
        <c:ser>
          <c:idx val="2"/>
          <c:order val="2"/>
          <c:tx>
            <c:strRef>
              <c:f>Salaire!$H$14</c:f>
              <c:strCache>
                <c:ptCount val="1"/>
                <c:pt idx="0">
                  <c:v>Médiane F</c:v>
                </c:pt>
              </c:strCache>
            </c:strRef>
          </c:tx>
          <c:marker>
            <c:symbol val="none"/>
          </c:marker>
          <c:cat>
            <c:numRef>
              <c:f>Salaire!$I$3:$O$3</c:f>
              <c:numCache>
                <c:formatCode>General</c:formatCode>
                <c:ptCount val="7"/>
                <c:pt idx="0">
                  <c:v>2013</c:v>
                </c:pt>
                <c:pt idx="1">
                  <c:v>2014</c:v>
                </c:pt>
                <c:pt idx="2">
                  <c:v>2015</c:v>
                </c:pt>
                <c:pt idx="3">
                  <c:v>2016</c:v>
                </c:pt>
                <c:pt idx="4">
                  <c:v>2017</c:v>
                </c:pt>
                <c:pt idx="5">
                  <c:v>2018</c:v>
                </c:pt>
                <c:pt idx="6">
                  <c:v>2019</c:v>
                </c:pt>
              </c:numCache>
            </c:numRef>
          </c:cat>
          <c:val>
            <c:numRef>
              <c:f>Salaire!$I$14:$O$14</c:f>
              <c:numCache>
                <c:formatCode>#,##0</c:formatCode>
                <c:ptCount val="7"/>
                <c:pt idx="0">
                  <c:v>27339</c:v>
                </c:pt>
                <c:pt idx="1">
                  <c:v>27000</c:v>
                </c:pt>
                <c:pt idx="2">
                  <c:v>28000</c:v>
                </c:pt>
                <c:pt idx="3">
                  <c:v>27968</c:v>
                </c:pt>
                <c:pt idx="4">
                  <c:v>28700</c:v>
                </c:pt>
                <c:pt idx="5">
                  <c:v>28000</c:v>
                </c:pt>
                <c:pt idx="6">
                  <c:v>29000</c:v>
                </c:pt>
              </c:numCache>
            </c:numRef>
          </c:val>
          <c:smooth val="0"/>
          <c:extLst xmlns:c16r2="http://schemas.microsoft.com/office/drawing/2015/06/chart">
            <c:ext xmlns:c16="http://schemas.microsoft.com/office/drawing/2014/chart" uri="{C3380CC4-5D6E-409C-BE32-E72D297353CC}">
              <c16:uniqueId val="{00000002-FA70-4BB3-9731-65185CD5A99B}"/>
            </c:ext>
          </c:extLst>
        </c:ser>
        <c:dLbls>
          <c:showLegendKey val="0"/>
          <c:showVal val="0"/>
          <c:showCatName val="0"/>
          <c:showSerName val="0"/>
          <c:showPercent val="0"/>
          <c:showBubbleSize val="0"/>
        </c:dLbls>
        <c:marker val="1"/>
        <c:smooth val="0"/>
        <c:axId val="298323968"/>
        <c:axId val="298325504"/>
      </c:lineChart>
      <c:catAx>
        <c:axId val="298323968"/>
        <c:scaling>
          <c:orientation val="minMax"/>
        </c:scaling>
        <c:delete val="0"/>
        <c:axPos val="b"/>
        <c:numFmt formatCode="General" sourceLinked="1"/>
        <c:majorTickMark val="out"/>
        <c:minorTickMark val="none"/>
        <c:tickLblPos val="nextTo"/>
        <c:crossAx val="298325504"/>
        <c:crosses val="autoZero"/>
        <c:auto val="1"/>
        <c:lblAlgn val="ctr"/>
        <c:lblOffset val="100"/>
        <c:noMultiLvlLbl val="0"/>
      </c:catAx>
      <c:valAx>
        <c:axId val="298325504"/>
        <c:scaling>
          <c:orientation val="minMax"/>
          <c:max val="30500"/>
          <c:min val="27000"/>
        </c:scaling>
        <c:delete val="0"/>
        <c:axPos val="l"/>
        <c:majorGridlines/>
        <c:numFmt formatCode="#,##0" sourceLinked="1"/>
        <c:majorTickMark val="out"/>
        <c:minorTickMark val="none"/>
        <c:tickLblPos val="nextTo"/>
        <c:crossAx val="29832396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4319082905175508"/>
          <c:y val="0.12010847028284326"/>
          <c:w val="0.6259954655135922"/>
          <c:h val="0.8285050470345553"/>
        </c:manualLayout>
      </c:layout>
      <c:barChart>
        <c:barDir val="bar"/>
        <c:grouping val="clustered"/>
        <c:varyColors val="0"/>
        <c:ser>
          <c:idx val="2"/>
          <c:order val="0"/>
          <c:tx>
            <c:strRef>
              <c:f>publications!$B$3</c:f>
              <c:strCache>
                <c:ptCount val="1"/>
                <c:pt idx="0">
                  <c:v>Enquête 2017, fin de Cifre en 2011</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publications!$A$4:$A$11</c:f>
              <c:strCache>
                <c:ptCount val="8"/>
                <c:pt idx="0">
                  <c:v>Publications internationales de rang A (premier auteur), 
ou des brevets (co-inventeur)</c:v>
                </c:pt>
                <c:pt idx="1">
                  <c:v>Proceeding de congrès internationaux</c:v>
                </c:pt>
                <c:pt idx="2">
                  <c:v>Proceeding de congrès nationaux</c:v>
                </c:pt>
                <c:pt idx="3">
                  <c:v>Brevets</c:v>
                </c:pt>
                <c:pt idx="4">
                  <c:v>Communications dans des congrès internationaux</c:v>
                </c:pt>
                <c:pt idx="5">
                  <c:v>Communications dans des congrès nationaux</c:v>
                </c:pt>
                <c:pt idx="6">
                  <c:v>Communication sous forme de poster</c:v>
                </c:pt>
                <c:pt idx="7">
                  <c:v>Prix ou reconnaissance décerné(s)</c:v>
                </c:pt>
              </c:strCache>
            </c:strRef>
          </c:cat>
          <c:val>
            <c:numRef>
              <c:f>publications!$B$4:$B$11</c:f>
              <c:numCache>
                <c:formatCode>0%</c:formatCode>
                <c:ptCount val="8"/>
                <c:pt idx="0">
                  <c:v>0.64</c:v>
                </c:pt>
                <c:pt idx="1">
                  <c:v>0.64</c:v>
                </c:pt>
                <c:pt idx="2">
                  <c:v>0.48</c:v>
                </c:pt>
                <c:pt idx="3">
                  <c:v>0.16</c:v>
                </c:pt>
                <c:pt idx="4">
                  <c:v>0.77</c:v>
                </c:pt>
                <c:pt idx="5">
                  <c:v>0.63</c:v>
                </c:pt>
                <c:pt idx="6">
                  <c:v>0.7</c:v>
                </c:pt>
                <c:pt idx="7">
                  <c:v>0.16</c:v>
                </c:pt>
              </c:numCache>
            </c:numRef>
          </c:val>
          <c:extLst xmlns:c16r2="http://schemas.microsoft.com/office/drawing/2015/06/chart">
            <c:ext xmlns:c16="http://schemas.microsoft.com/office/drawing/2014/chart" uri="{C3380CC4-5D6E-409C-BE32-E72D297353CC}">
              <c16:uniqueId val="{00000000-8C77-4172-A44C-344510E7E01C}"/>
            </c:ext>
          </c:extLst>
        </c:ser>
        <c:ser>
          <c:idx val="3"/>
          <c:order val="1"/>
          <c:tx>
            <c:strRef>
              <c:f>publications!$C$3</c:f>
              <c:strCache>
                <c:ptCount val="1"/>
                <c:pt idx="0">
                  <c:v>Enquête 2019, fin de Cifre en 2013</c:v>
                </c:pt>
              </c:strCache>
            </c:strRef>
          </c:tx>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publications!$A$4:$A$11</c:f>
              <c:strCache>
                <c:ptCount val="8"/>
                <c:pt idx="0">
                  <c:v>Publications internationales de rang A (premier auteur), 
ou des brevets (co-inventeur)</c:v>
                </c:pt>
                <c:pt idx="1">
                  <c:v>Proceeding de congrès internationaux</c:v>
                </c:pt>
                <c:pt idx="2">
                  <c:v>Proceeding de congrès nationaux</c:v>
                </c:pt>
                <c:pt idx="3">
                  <c:v>Brevets</c:v>
                </c:pt>
                <c:pt idx="4">
                  <c:v>Communications dans des congrès internationaux</c:v>
                </c:pt>
                <c:pt idx="5">
                  <c:v>Communications dans des congrès nationaux</c:v>
                </c:pt>
                <c:pt idx="6">
                  <c:v>Communication sous forme de poster</c:v>
                </c:pt>
                <c:pt idx="7">
                  <c:v>Prix ou reconnaissance décerné(s)</c:v>
                </c:pt>
              </c:strCache>
            </c:strRef>
          </c:cat>
          <c:val>
            <c:numRef>
              <c:f>publications!$C$4:$C$11</c:f>
              <c:numCache>
                <c:formatCode>0%</c:formatCode>
                <c:ptCount val="8"/>
                <c:pt idx="0">
                  <c:v>0.65</c:v>
                </c:pt>
                <c:pt idx="1">
                  <c:v>0.625</c:v>
                </c:pt>
                <c:pt idx="2">
                  <c:v>0.47187499999999999</c:v>
                </c:pt>
                <c:pt idx="3">
                  <c:v>0.19375000000000001</c:v>
                </c:pt>
                <c:pt idx="4">
                  <c:v>0.703125</c:v>
                </c:pt>
                <c:pt idx="5">
                  <c:v>0.63749999999999996</c:v>
                </c:pt>
                <c:pt idx="6">
                  <c:v>0.68125000000000002</c:v>
                </c:pt>
                <c:pt idx="7">
                  <c:v>0.16875000000000001</c:v>
                </c:pt>
              </c:numCache>
            </c:numRef>
          </c:val>
          <c:extLst xmlns:c16r2="http://schemas.microsoft.com/office/drawing/2015/06/chart">
            <c:ext xmlns:c16="http://schemas.microsoft.com/office/drawing/2014/chart" uri="{C3380CC4-5D6E-409C-BE32-E72D297353CC}">
              <c16:uniqueId val="{00000001-8C77-4172-A44C-344510E7E01C}"/>
            </c:ext>
          </c:extLst>
        </c:ser>
        <c:dLbls>
          <c:showLegendKey val="0"/>
          <c:showVal val="0"/>
          <c:showCatName val="0"/>
          <c:showSerName val="0"/>
          <c:showPercent val="0"/>
          <c:showBubbleSize val="0"/>
        </c:dLbls>
        <c:gapWidth val="150"/>
        <c:axId val="298475520"/>
        <c:axId val="298477056"/>
      </c:barChart>
      <c:catAx>
        <c:axId val="298475520"/>
        <c:scaling>
          <c:orientation val="minMax"/>
        </c:scaling>
        <c:delete val="0"/>
        <c:axPos val="l"/>
        <c:numFmt formatCode="General" sourceLinked="0"/>
        <c:majorTickMark val="out"/>
        <c:minorTickMark val="none"/>
        <c:tickLblPos val="nextTo"/>
        <c:crossAx val="298477056"/>
        <c:crosses val="autoZero"/>
        <c:auto val="1"/>
        <c:lblAlgn val="r"/>
        <c:lblOffset val="100"/>
        <c:noMultiLvlLbl val="0"/>
      </c:catAx>
      <c:valAx>
        <c:axId val="298477056"/>
        <c:scaling>
          <c:orientation val="minMax"/>
          <c:max val="0.8"/>
        </c:scaling>
        <c:delete val="0"/>
        <c:axPos val="t"/>
        <c:majorGridlines/>
        <c:numFmt formatCode="0%" sourceLinked="0"/>
        <c:majorTickMark val="out"/>
        <c:minorTickMark val="none"/>
        <c:tickLblPos val="nextTo"/>
        <c:crossAx val="298475520"/>
        <c:crosses val="max"/>
        <c:crossBetween val="between"/>
        <c:majorUnit val="0.2"/>
      </c:valAx>
    </c:plotArea>
    <c:legend>
      <c:legendPos val="r"/>
      <c:layout>
        <c:manualLayout>
          <c:xMode val="edge"/>
          <c:yMode val="edge"/>
          <c:x val="0.60086908686637097"/>
          <c:y val="0.54444247678964708"/>
          <c:w val="0.30265263674948001"/>
          <c:h val="0.10665293873422518"/>
        </c:manualLayout>
      </c:layout>
      <c:overlay val="0"/>
    </c:legend>
    <c:plotVisOnly val="1"/>
    <c:dispBlanksAs val="gap"/>
    <c:showDLblsOverMax val="0"/>
  </c:chart>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anose="020B0604020202020204" pitchFamily="34" charset="0"/>
                <a:cs typeface="Arial" panose="020B0604020202020204" pitchFamily="34" charset="0"/>
              </a:defRPr>
            </a:pPr>
            <a:r>
              <a:rPr lang="fr-FR" sz="1200" b="1" i="0" baseline="0">
                <a:effectLst/>
                <a:latin typeface="Arial" panose="020B0604020202020204" pitchFamily="34" charset="0"/>
                <a:cs typeface="Arial" panose="020B0604020202020204" pitchFamily="34" charset="0"/>
              </a:rPr>
              <a:t>02 : Évolution des Cifre acceptées par domaine scientifique </a:t>
            </a:r>
            <a:endParaRPr lang="fr-FR" sz="1200">
              <a:effectLst/>
              <a:latin typeface="Arial" panose="020B0604020202020204" pitchFamily="34" charset="0"/>
              <a:cs typeface="Arial" panose="020B0604020202020204" pitchFamily="34" charset="0"/>
            </a:endParaRPr>
          </a:p>
        </c:rich>
      </c:tx>
      <c:overlay val="0"/>
    </c:title>
    <c:autoTitleDeleted val="0"/>
    <c:plotArea>
      <c:layout>
        <c:manualLayout>
          <c:layoutTarget val="inner"/>
          <c:xMode val="edge"/>
          <c:yMode val="edge"/>
          <c:x val="3.8297551736630603E-2"/>
          <c:y val="8.9169972033851838E-2"/>
          <c:w val="0.95474364237516429"/>
          <c:h val="0.77801373494375148"/>
        </c:manualLayout>
      </c:layout>
      <c:barChart>
        <c:barDir val="col"/>
        <c:grouping val="clustered"/>
        <c:varyColors val="0"/>
        <c:ser>
          <c:idx val="0"/>
          <c:order val="0"/>
          <c:tx>
            <c:strRef>
              <c:f>'Domaine sc'!$B$29</c:f>
              <c:strCache>
                <c:ptCount val="1"/>
                <c:pt idx="0">
                  <c:v>2012</c:v>
                </c:pt>
              </c:strCache>
            </c:strRef>
          </c:tx>
          <c:invertIfNegative val="0"/>
          <c:cat>
            <c:strRef>
              <c:f>'Domaine sc'!$A$30:$A$39</c:f>
              <c:strCache>
                <c:ptCount val="10"/>
                <c:pt idx="0">
                  <c:v>Mathématiques</c:v>
                </c:pt>
                <c:pt idx="1">
                  <c:v>Physique</c:v>
                </c:pt>
                <c:pt idx="2">
                  <c:v>Sciences de la Terre</c:v>
                </c:pt>
                <c:pt idx="3">
                  <c:v>Chimie, Matériaux</c:v>
                </c:pt>
                <c:pt idx="4">
                  <c:v>Sciences pour l'ingénieur</c:v>
                </c:pt>
                <c:pt idx="5">
                  <c:v>STIC</c:v>
                </c:pt>
                <c:pt idx="6">
                  <c:v>Sciences de l'Homme</c:v>
                </c:pt>
                <c:pt idx="7">
                  <c:v>Sciences de la Société</c:v>
                </c:pt>
                <c:pt idx="8">
                  <c:v>Santé</c:v>
                </c:pt>
                <c:pt idx="9">
                  <c:v>Agronomie, Agroalimentaire</c:v>
                </c:pt>
              </c:strCache>
            </c:strRef>
          </c:cat>
          <c:val>
            <c:numRef>
              <c:f>'Domaine sc'!$B$30:$B$39</c:f>
              <c:numCache>
                <c:formatCode>General</c:formatCode>
                <c:ptCount val="10"/>
                <c:pt idx="0">
                  <c:v>76</c:v>
                </c:pt>
                <c:pt idx="1">
                  <c:v>20</c:v>
                </c:pt>
                <c:pt idx="2">
                  <c:v>26</c:v>
                </c:pt>
                <c:pt idx="3">
                  <c:v>180</c:v>
                </c:pt>
                <c:pt idx="4">
                  <c:v>272</c:v>
                </c:pt>
                <c:pt idx="5">
                  <c:v>294</c:v>
                </c:pt>
                <c:pt idx="6">
                  <c:v>181</c:v>
                </c:pt>
                <c:pt idx="7">
                  <c:v>157</c:v>
                </c:pt>
                <c:pt idx="8">
                  <c:v>83</c:v>
                </c:pt>
                <c:pt idx="9">
                  <c:v>78</c:v>
                </c:pt>
              </c:numCache>
            </c:numRef>
          </c:val>
          <c:extLst xmlns:c16r2="http://schemas.microsoft.com/office/drawing/2015/06/chart">
            <c:ext xmlns:c16="http://schemas.microsoft.com/office/drawing/2014/chart" uri="{C3380CC4-5D6E-409C-BE32-E72D297353CC}">
              <c16:uniqueId val="{00000000-6060-4873-A185-714C48F16C85}"/>
            </c:ext>
          </c:extLst>
        </c:ser>
        <c:ser>
          <c:idx val="1"/>
          <c:order val="1"/>
          <c:tx>
            <c:strRef>
              <c:f>'Domaine sc'!$C$29</c:f>
              <c:strCache>
                <c:ptCount val="1"/>
                <c:pt idx="0">
                  <c:v>2013</c:v>
                </c:pt>
              </c:strCache>
            </c:strRef>
          </c:tx>
          <c:spPr>
            <a:ln w="19050"/>
          </c:spPr>
          <c:invertIfNegative val="0"/>
          <c:cat>
            <c:strRef>
              <c:f>'Domaine sc'!$A$30:$A$39</c:f>
              <c:strCache>
                <c:ptCount val="10"/>
                <c:pt idx="0">
                  <c:v>Mathématiques</c:v>
                </c:pt>
                <c:pt idx="1">
                  <c:v>Physique</c:v>
                </c:pt>
                <c:pt idx="2">
                  <c:v>Sciences de la Terre</c:v>
                </c:pt>
                <c:pt idx="3">
                  <c:v>Chimie, Matériaux</c:v>
                </c:pt>
                <c:pt idx="4">
                  <c:v>Sciences pour l'ingénieur</c:v>
                </c:pt>
                <c:pt idx="5">
                  <c:v>STIC</c:v>
                </c:pt>
                <c:pt idx="6">
                  <c:v>Sciences de l'Homme</c:v>
                </c:pt>
                <c:pt idx="7">
                  <c:v>Sciences de la Société</c:v>
                </c:pt>
                <c:pt idx="8">
                  <c:v>Santé</c:v>
                </c:pt>
                <c:pt idx="9">
                  <c:v>Agronomie, Agroalimentaire</c:v>
                </c:pt>
              </c:strCache>
            </c:strRef>
          </c:cat>
          <c:val>
            <c:numRef>
              <c:f>'Domaine sc'!$C$30:$C$39</c:f>
              <c:numCache>
                <c:formatCode>General</c:formatCode>
                <c:ptCount val="10"/>
                <c:pt idx="0">
                  <c:v>101</c:v>
                </c:pt>
                <c:pt idx="1">
                  <c:v>21</c:v>
                </c:pt>
                <c:pt idx="2">
                  <c:v>12</c:v>
                </c:pt>
                <c:pt idx="3">
                  <c:v>142</c:v>
                </c:pt>
                <c:pt idx="4">
                  <c:v>247</c:v>
                </c:pt>
                <c:pt idx="5">
                  <c:v>274</c:v>
                </c:pt>
                <c:pt idx="6">
                  <c:v>147</c:v>
                </c:pt>
                <c:pt idx="7">
                  <c:v>158</c:v>
                </c:pt>
                <c:pt idx="8">
                  <c:v>81</c:v>
                </c:pt>
                <c:pt idx="9">
                  <c:v>54</c:v>
                </c:pt>
              </c:numCache>
            </c:numRef>
          </c:val>
          <c:extLst xmlns:c16r2="http://schemas.microsoft.com/office/drawing/2015/06/chart">
            <c:ext xmlns:c16="http://schemas.microsoft.com/office/drawing/2014/chart" uri="{C3380CC4-5D6E-409C-BE32-E72D297353CC}">
              <c16:uniqueId val="{00000001-6060-4873-A185-714C48F16C85}"/>
            </c:ext>
          </c:extLst>
        </c:ser>
        <c:ser>
          <c:idx val="2"/>
          <c:order val="2"/>
          <c:tx>
            <c:strRef>
              <c:f>'Domaine sc'!$D$29</c:f>
              <c:strCache>
                <c:ptCount val="1"/>
                <c:pt idx="0">
                  <c:v>2014</c:v>
                </c:pt>
              </c:strCache>
            </c:strRef>
          </c:tx>
          <c:invertIfNegative val="0"/>
          <c:cat>
            <c:strRef>
              <c:f>'Domaine sc'!$A$30:$A$39</c:f>
              <c:strCache>
                <c:ptCount val="10"/>
                <c:pt idx="0">
                  <c:v>Mathématiques</c:v>
                </c:pt>
                <c:pt idx="1">
                  <c:v>Physique</c:v>
                </c:pt>
                <c:pt idx="2">
                  <c:v>Sciences de la Terre</c:v>
                </c:pt>
                <c:pt idx="3">
                  <c:v>Chimie, Matériaux</c:v>
                </c:pt>
                <c:pt idx="4">
                  <c:v>Sciences pour l'ingénieur</c:v>
                </c:pt>
                <c:pt idx="5">
                  <c:v>STIC</c:v>
                </c:pt>
                <c:pt idx="6">
                  <c:v>Sciences de l'Homme</c:v>
                </c:pt>
                <c:pt idx="7">
                  <c:v>Sciences de la Société</c:v>
                </c:pt>
                <c:pt idx="8">
                  <c:v>Santé</c:v>
                </c:pt>
                <c:pt idx="9">
                  <c:v>Agronomie, Agroalimentaire</c:v>
                </c:pt>
              </c:strCache>
            </c:strRef>
          </c:cat>
          <c:val>
            <c:numRef>
              <c:f>'Domaine sc'!$D$30:$D$39</c:f>
              <c:numCache>
                <c:formatCode>General</c:formatCode>
                <c:ptCount val="10"/>
                <c:pt idx="0">
                  <c:v>71</c:v>
                </c:pt>
                <c:pt idx="1">
                  <c:v>24</c:v>
                </c:pt>
                <c:pt idx="2">
                  <c:v>12</c:v>
                </c:pt>
                <c:pt idx="3">
                  <c:v>178</c:v>
                </c:pt>
                <c:pt idx="4">
                  <c:v>266</c:v>
                </c:pt>
                <c:pt idx="5">
                  <c:v>269</c:v>
                </c:pt>
                <c:pt idx="6">
                  <c:v>163</c:v>
                </c:pt>
                <c:pt idx="7">
                  <c:v>173</c:v>
                </c:pt>
                <c:pt idx="8">
                  <c:v>124</c:v>
                </c:pt>
                <c:pt idx="9">
                  <c:v>72</c:v>
                </c:pt>
              </c:numCache>
            </c:numRef>
          </c:val>
          <c:extLst xmlns:c16r2="http://schemas.microsoft.com/office/drawing/2015/06/chart">
            <c:ext xmlns:c16="http://schemas.microsoft.com/office/drawing/2014/chart" uri="{C3380CC4-5D6E-409C-BE32-E72D297353CC}">
              <c16:uniqueId val="{00000002-6060-4873-A185-714C48F16C85}"/>
            </c:ext>
          </c:extLst>
        </c:ser>
        <c:ser>
          <c:idx val="3"/>
          <c:order val="3"/>
          <c:tx>
            <c:strRef>
              <c:f>'Domaine sc'!$E$29</c:f>
              <c:strCache>
                <c:ptCount val="1"/>
                <c:pt idx="0">
                  <c:v>2015</c:v>
                </c:pt>
              </c:strCache>
            </c:strRef>
          </c:tx>
          <c:invertIfNegative val="0"/>
          <c:cat>
            <c:strRef>
              <c:f>'Domaine sc'!$A$30:$A$39</c:f>
              <c:strCache>
                <c:ptCount val="10"/>
                <c:pt idx="0">
                  <c:v>Mathématiques</c:v>
                </c:pt>
                <c:pt idx="1">
                  <c:v>Physique</c:v>
                </c:pt>
                <c:pt idx="2">
                  <c:v>Sciences de la Terre</c:v>
                </c:pt>
                <c:pt idx="3">
                  <c:v>Chimie, Matériaux</c:v>
                </c:pt>
                <c:pt idx="4">
                  <c:v>Sciences pour l'ingénieur</c:v>
                </c:pt>
                <c:pt idx="5">
                  <c:v>STIC</c:v>
                </c:pt>
                <c:pt idx="6">
                  <c:v>Sciences de l'Homme</c:v>
                </c:pt>
                <c:pt idx="7">
                  <c:v>Sciences de la Société</c:v>
                </c:pt>
                <c:pt idx="8">
                  <c:v>Santé</c:v>
                </c:pt>
                <c:pt idx="9">
                  <c:v>Agronomie, Agroalimentaire</c:v>
                </c:pt>
              </c:strCache>
            </c:strRef>
          </c:cat>
          <c:val>
            <c:numRef>
              <c:f>'Domaine sc'!$E$30:$E$39</c:f>
              <c:numCache>
                <c:formatCode>General</c:formatCode>
                <c:ptCount val="10"/>
                <c:pt idx="0">
                  <c:v>88</c:v>
                </c:pt>
                <c:pt idx="1">
                  <c:v>24</c:v>
                </c:pt>
                <c:pt idx="2">
                  <c:v>16</c:v>
                </c:pt>
                <c:pt idx="3">
                  <c:v>171</c:v>
                </c:pt>
                <c:pt idx="4">
                  <c:v>265</c:v>
                </c:pt>
                <c:pt idx="5">
                  <c:v>288</c:v>
                </c:pt>
                <c:pt idx="6">
                  <c:v>173</c:v>
                </c:pt>
                <c:pt idx="7">
                  <c:v>170</c:v>
                </c:pt>
                <c:pt idx="8">
                  <c:v>118</c:v>
                </c:pt>
                <c:pt idx="9">
                  <c:v>70</c:v>
                </c:pt>
              </c:numCache>
            </c:numRef>
          </c:val>
          <c:extLst xmlns:c16r2="http://schemas.microsoft.com/office/drawing/2015/06/chart">
            <c:ext xmlns:c16="http://schemas.microsoft.com/office/drawing/2014/chart" uri="{C3380CC4-5D6E-409C-BE32-E72D297353CC}">
              <c16:uniqueId val="{00000003-6060-4873-A185-714C48F16C85}"/>
            </c:ext>
          </c:extLst>
        </c:ser>
        <c:ser>
          <c:idx val="4"/>
          <c:order val="4"/>
          <c:tx>
            <c:strRef>
              <c:f>'Domaine sc'!$F$29</c:f>
              <c:strCache>
                <c:ptCount val="1"/>
                <c:pt idx="0">
                  <c:v>2016</c:v>
                </c:pt>
              </c:strCache>
            </c:strRef>
          </c:tx>
          <c:invertIfNegative val="0"/>
          <c:cat>
            <c:strRef>
              <c:f>'Domaine sc'!$A$30:$A$39</c:f>
              <c:strCache>
                <c:ptCount val="10"/>
                <c:pt idx="0">
                  <c:v>Mathématiques</c:v>
                </c:pt>
                <c:pt idx="1">
                  <c:v>Physique</c:v>
                </c:pt>
                <c:pt idx="2">
                  <c:v>Sciences de la Terre</c:v>
                </c:pt>
                <c:pt idx="3">
                  <c:v>Chimie, Matériaux</c:v>
                </c:pt>
                <c:pt idx="4">
                  <c:v>Sciences pour l'ingénieur</c:v>
                </c:pt>
                <c:pt idx="5">
                  <c:v>STIC</c:v>
                </c:pt>
                <c:pt idx="6">
                  <c:v>Sciences de l'Homme</c:v>
                </c:pt>
                <c:pt idx="7">
                  <c:v>Sciences de la Société</c:v>
                </c:pt>
                <c:pt idx="8">
                  <c:v>Santé</c:v>
                </c:pt>
                <c:pt idx="9">
                  <c:v>Agronomie, Agroalimentaire</c:v>
                </c:pt>
              </c:strCache>
            </c:strRef>
          </c:cat>
          <c:val>
            <c:numRef>
              <c:f>'Domaine sc'!$F$30:$F$39</c:f>
              <c:numCache>
                <c:formatCode>General</c:formatCode>
                <c:ptCount val="10"/>
                <c:pt idx="0">
                  <c:v>62</c:v>
                </c:pt>
                <c:pt idx="1">
                  <c:v>13</c:v>
                </c:pt>
                <c:pt idx="2">
                  <c:v>14</c:v>
                </c:pt>
                <c:pt idx="3">
                  <c:v>186</c:v>
                </c:pt>
                <c:pt idx="4">
                  <c:v>263</c:v>
                </c:pt>
                <c:pt idx="5">
                  <c:v>282</c:v>
                </c:pt>
                <c:pt idx="6">
                  <c:v>209</c:v>
                </c:pt>
                <c:pt idx="7">
                  <c:v>162</c:v>
                </c:pt>
                <c:pt idx="8">
                  <c:v>111</c:v>
                </c:pt>
                <c:pt idx="9">
                  <c:v>75</c:v>
                </c:pt>
              </c:numCache>
            </c:numRef>
          </c:val>
          <c:extLst xmlns:c16r2="http://schemas.microsoft.com/office/drawing/2015/06/chart">
            <c:ext xmlns:c16="http://schemas.microsoft.com/office/drawing/2014/chart" uri="{C3380CC4-5D6E-409C-BE32-E72D297353CC}">
              <c16:uniqueId val="{00000004-6060-4873-A185-714C48F16C85}"/>
            </c:ext>
          </c:extLst>
        </c:ser>
        <c:ser>
          <c:idx val="5"/>
          <c:order val="5"/>
          <c:tx>
            <c:strRef>
              <c:f>'Domaine sc'!$G$29</c:f>
              <c:strCache>
                <c:ptCount val="1"/>
                <c:pt idx="0">
                  <c:v>2017</c:v>
                </c:pt>
              </c:strCache>
            </c:strRef>
          </c:tx>
          <c:invertIfNegative val="0"/>
          <c:cat>
            <c:strRef>
              <c:f>'Domaine sc'!$A$30:$A$39</c:f>
              <c:strCache>
                <c:ptCount val="10"/>
                <c:pt idx="0">
                  <c:v>Mathématiques</c:v>
                </c:pt>
                <c:pt idx="1">
                  <c:v>Physique</c:v>
                </c:pt>
                <c:pt idx="2">
                  <c:v>Sciences de la Terre</c:v>
                </c:pt>
                <c:pt idx="3">
                  <c:v>Chimie, Matériaux</c:v>
                </c:pt>
                <c:pt idx="4">
                  <c:v>Sciences pour l'ingénieur</c:v>
                </c:pt>
                <c:pt idx="5">
                  <c:v>STIC</c:v>
                </c:pt>
                <c:pt idx="6">
                  <c:v>Sciences de l'Homme</c:v>
                </c:pt>
                <c:pt idx="7">
                  <c:v>Sciences de la Société</c:v>
                </c:pt>
                <c:pt idx="8">
                  <c:v>Santé</c:v>
                </c:pt>
                <c:pt idx="9">
                  <c:v>Agronomie, Agroalimentaire</c:v>
                </c:pt>
              </c:strCache>
            </c:strRef>
          </c:cat>
          <c:val>
            <c:numRef>
              <c:f>'Domaine sc'!$G$30:$G$39</c:f>
              <c:numCache>
                <c:formatCode>General</c:formatCode>
                <c:ptCount val="10"/>
                <c:pt idx="0">
                  <c:v>68</c:v>
                </c:pt>
                <c:pt idx="1">
                  <c:v>17</c:v>
                </c:pt>
                <c:pt idx="2">
                  <c:v>15</c:v>
                </c:pt>
                <c:pt idx="3">
                  <c:v>174</c:v>
                </c:pt>
                <c:pt idx="4">
                  <c:v>269</c:v>
                </c:pt>
                <c:pt idx="5">
                  <c:v>334</c:v>
                </c:pt>
                <c:pt idx="6">
                  <c:v>209</c:v>
                </c:pt>
                <c:pt idx="7">
                  <c:v>156</c:v>
                </c:pt>
                <c:pt idx="8">
                  <c:v>104</c:v>
                </c:pt>
                <c:pt idx="9">
                  <c:v>87</c:v>
                </c:pt>
              </c:numCache>
            </c:numRef>
          </c:val>
          <c:extLst xmlns:c16r2="http://schemas.microsoft.com/office/drawing/2015/06/chart">
            <c:ext xmlns:c16="http://schemas.microsoft.com/office/drawing/2014/chart" uri="{C3380CC4-5D6E-409C-BE32-E72D297353CC}">
              <c16:uniqueId val="{00000005-6060-4873-A185-714C48F16C85}"/>
            </c:ext>
          </c:extLst>
        </c:ser>
        <c:ser>
          <c:idx val="6"/>
          <c:order val="6"/>
          <c:tx>
            <c:strRef>
              <c:f>'Domaine sc'!$H$29</c:f>
              <c:strCache>
                <c:ptCount val="1"/>
                <c:pt idx="0">
                  <c:v>2018</c:v>
                </c:pt>
              </c:strCache>
            </c:strRef>
          </c:tx>
          <c:invertIfNegative val="0"/>
          <c:val>
            <c:numRef>
              <c:f>'Domaine sc'!$H$30:$H$39</c:f>
              <c:numCache>
                <c:formatCode>General</c:formatCode>
                <c:ptCount val="10"/>
                <c:pt idx="0">
                  <c:v>67</c:v>
                </c:pt>
                <c:pt idx="1">
                  <c:v>22</c:v>
                </c:pt>
                <c:pt idx="2">
                  <c:v>16</c:v>
                </c:pt>
                <c:pt idx="3">
                  <c:v>165</c:v>
                </c:pt>
                <c:pt idx="4">
                  <c:v>256</c:v>
                </c:pt>
                <c:pt idx="5">
                  <c:v>349</c:v>
                </c:pt>
                <c:pt idx="6">
                  <c:v>211</c:v>
                </c:pt>
                <c:pt idx="7">
                  <c:v>211</c:v>
                </c:pt>
                <c:pt idx="8">
                  <c:v>136</c:v>
                </c:pt>
                <c:pt idx="9">
                  <c:v>67</c:v>
                </c:pt>
              </c:numCache>
            </c:numRef>
          </c:val>
          <c:extLst xmlns:c16r2="http://schemas.microsoft.com/office/drawing/2015/06/chart">
            <c:ext xmlns:c16="http://schemas.microsoft.com/office/drawing/2014/chart" uri="{C3380CC4-5D6E-409C-BE32-E72D297353CC}">
              <c16:uniqueId val="{00000003-8F17-4527-A461-4463F4B1FBC0}"/>
            </c:ext>
          </c:extLst>
        </c:ser>
        <c:ser>
          <c:idx val="7"/>
          <c:order val="7"/>
          <c:tx>
            <c:strRef>
              <c:f>'Domaine sc'!$I$29</c:f>
              <c:strCache>
                <c:ptCount val="1"/>
                <c:pt idx="0">
                  <c:v>2019</c:v>
                </c:pt>
              </c:strCache>
            </c:strRef>
          </c:tx>
          <c:invertIfNegative val="0"/>
          <c:val>
            <c:numRef>
              <c:f>'Domaine sc'!$I$30:$I$39</c:f>
              <c:numCache>
                <c:formatCode>General</c:formatCode>
                <c:ptCount val="10"/>
                <c:pt idx="0">
                  <c:v>78</c:v>
                </c:pt>
                <c:pt idx="1">
                  <c:v>19</c:v>
                </c:pt>
                <c:pt idx="2">
                  <c:v>14</c:v>
                </c:pt>
                <c:pt idx="3">
                  <c:v>168</c:v>
                </c:pt>
                <c:pt idx="4">
                  <c:v>286</c:v>
                </c:pt>
                <c:pt idx="5">
                  <c:v>325</c:v>
                </c:pt>
                <c:pt idx="6">
                  <c:v>208</c:v>
                </c:pt>
                <c:pt idx="7">
                  <c:v>162</c:v>
                </c:pt>
                <c:pt idx="8">
                  <c:v>118</c:v>
                </c:pt>
                <c:pt idx="9">
                  <c:v>72</c:v>
                </c:pt>
              </c:numCache>
            </c:numRef>
          </c:val>
          <c:extLst xmlns:c16r2="http://schemas.microsoft.com/office/drawing/2015/06/chart">
            <c:ext xmlns:c16="http://schemas.microsoft.com/office/drawing/2014/chart" uri="{C3380CC4-5D6E-409C-BE32-E72D297353CC}">
              <c16:uniqueId val="{00000004-8F17-4527-A461-4463F4B1FBC0}"/>
            </c:ext>
          </c:extLst>
        </c:ser>
        <c:dLbls>
          <c:showLegendKey val="0"/>
          <c:showVal val="0"/>
          <c:showCatName val="0"/>
          <c:showSerName val="0"/>
          <c:showPercent val="0"/>
          <c:showBubbleSize val="0"/>
        </c:dLbls>
        <c:gapWidth val="78"/>
        <c:overlap val="-11"/>
        <c:axId val="296968576"/>
        <c:axId val="296970112"/>
      </c:barChart>
      <c:catAx>
        <c:axId val="296968576"/>
        <c:scaling>
          <c:orientation val="minMax"/>
        </c:scaling>
        <c:delete val="0"/>
        <c:axPos val="b"/>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fr-FR"/>
          </a:p>
        </c:txPr>
        <c:crossAx val="296970112"/>
        <c:crosses val="autoZero"/>
        <c:auto val="1"/>
        <c:lblAlgn val="ctr"/>
        <c:lblOffset val="100"/>
        <c:noMultiLvlLbl val="0"/>
      </c:catAx>
      <c:valAx>
        <c:axId val="296970112"/>
        <c:scaling>
          <c:orientation val="minMax"/>
          <c:max val="350"/>
        </c:scaling>
        <c:delete val="0"/>
        <c:axPos val="l"/>
        <c:majorGridlines/>
        <c:numFmt formatCode="General"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296968576"/>
        <c:crosses val="autoZero"/>
        <c:crossBetween val="between"/>
      </c:valAx>
    </c:plotArea>
    <c:legend>
      <c:legendPos val="r"/>
      <c:layout>
        <c:manualLayout>
          <c:xMode val="edge"/>
          <c:yMode val="edge"/>
          <c:x val="0.92562189600540401"/>
          <c:y val="8.2654455986878081E-2"/>
          <c:w val="5.520488053351362E-2"/>
          <c:h val="0.33560150438225889"/>
        </c:manualLayout>
      </c:layout>
      <c:overlay val="1"/>
      <c:txPr>
        <a:bodyPr/>
        <a:lstStyle/>
        <a:p>
          <a:pPr>
            <a:defRPr sz="900">
              <a:latin typeface="Arial" panose="020B0604020202020204" pitchFamily="34" charset="0"/>
              <a:cs typeface="Arial" panose="020B0604020202020204" pitchFamily="34" charset="0"/>
            </a:defRPr>
          </a:pPr>
          <a:endParaRPr lang="fr-FR"/>
        </a:p>
      </c:txPr>
    </c:legend>
    <c:plotVisOnly val="1"/>
    <c:dispBlanksAs val="gap"/>
    <c:showDLblsOverMax val="0"/>
  </c:chart>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Calibri"/>
                <a:ea typeface="Calibri"/>
                <a:cs typeface="Calibri"/>
              </a:defRPr>
            </a:pPr>
            <a:r>
              <a:rPr lang="fr-FR" sz="1200" b="1" i="0" u="none" strike="noStrike" baseline="0">
                <a:solidFill>
                  <a:srgbClr val="000000"/>
                </a:solidFill>
                <a:latin typeface="Calibri"/>
              </a:rPr>
              <a:t>Répartition des 1383 CIFRE acceptées en 2015 </a:t>
            </a:r>
          </a:p>
          <a:p>
            <a:pPr>
              <a:defRPr sz="1000" b="0" i="0" u="none" strike="noStrike" baseline="0">
                <a:solidFill>
                  <a:srgbClr val="000000"/>
                </a:solidFill>
                <a:latin typeface="Calibri"/>
                <a:ea typeface="Calibri"/>
                <a:cs typeface="Calibri"/>
              </a:defRPr>
            </a:pPr>
            <a:r>
              <a:rPr lang="fr-FR" sz="1200" b="1" i="0" u="none" strike="noStrike" baseline="0">
                <a:solidFill>
                  <a:srgbClr val="000000"/>
                </a:solidFill>
                <a:latin typeface="Calibri"/>
              </a:rPr>
              <a:t>selon le type d'employeur</a:t>
            </a:r>
          </a:p>
        </c:rich>
      </c:tx>
      <c:overlay val="0"/>
    </c:title>
    <c:autoTitleDeleted val="0"/>
    <c:plotArea>
      <c:layout/>
      <c:pieChart>
        <c:varyColors val="1"/>
        <c:ser>
          <c:idx val="0"/>
          <c:order val="0"/>
          <c:dPt>
            <c:idx val="0"/>
            <c:bubble3D val="0"/>
            <c:extLst xmlns:c16r2="http://schemas.microsoft.com/office/drawing/2015/06/chart">
              <c:ext xmlns:c16="http://schemas.microsoft.com/office/drawing/2014/chart" uri="{C3380CC4-5D6E-409C-BE32-E72D297353CC}">
                <c16:uniqueId val="{00000000-D8F6-4D45-A7CD-FA4C805547EC}"/>
              </c:ext>
            </c:extLst>
          </c:dPt>
          <c:dPt>
            <c:idx val="1"/>
            <c:bubble3D val="0"/>
            <c:extLst xmlns:c16r2="http://schemas.microsoft.com/office/drawing/2015/06/chart">
              <c:ext xmlns:c16="http://schemas.microsoft.com/office/drawing/2014/chart" uri="{C3380CC4-5D6E-409C-BE32-E72D297353CC}">
                <c16:uniqueId val="{00000001-D8F6-4D45-A7CD-FA4C805547EC}"/>
              </c:ext>
            </c:extLst>
          </c:dPt>
          <c:dPt>
            <c:idx val="2"/>
            <c:bubble3D val="0"/>
            <c:extLst xmlns:c16r2="http://schemas.microsoft.com/office/drawing/2015/06/chart">
              <c:ext xmlns:c16="http://schemas.microsoft.com/office/drawing/2014/chart" uri="{C3380CC4-5D6E-409C-BE32-E72D297353CC}">
                <c16:uniqueId val="{00000002-D8F6-4D45-A7CD-FA4C805547EC}"/>
              </c:ext>
            </c:extLst>
          </c:dPt>
          <c:dPt>
            <c:idx val="3"/>
            <c:bubble3D val="0"/>
            <c:extLst xmlns:c16r2="http://schemas.microsoft.com/office/drawing/2015/06/chart">
              <c:ext xmlns:c16="http://schemas.microsoft.com/office/drawing/2014/chart" uri="{C3380CC4-5D6E-409C-BE32-E72D297353CC}">
                <c16:uniqueId val="{00000003-D8F6-4D45-A7CD-FA4C805547EC}"/>
              </c:ext>
            </c:extLst>
          </c:dPt>
          <c:dLbls>
            <c:spPr>
              <a:noFill/>
              <a:ln w="25400">
                <a:noFill/>
              </a:ln>
            </c:spPr>
            <c:txPr>
              <a:bodyPr/>
              <a:lstStyle/>
              <a:p>
                <a:pPr>
                  <a:defRPr sz="1000" b="0" i="0" u="none" strike="noStrike" baseline="0">
                    <a:solidFill>
                      <a:srgbClr val="000000"/>
                    </a:solidFill>
                    <a:latin typeface="Calibri"/>
                    <a:ea typeface="Calibri"/>
                    <a:cs typeface="Calibri"/>
                  </a:defRPr>
                </a:pPr>
                <a:endParaRPr lang="fr-FR"/>
              </a:p>
            </c:txPr>
            <c:showLegendKey val="0"/>
            <c:showVal val="1"/>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'Structures Bénéficiaires'!#REF!</c:f>
              <c:numCache>
                <c:formatCode>General</c:formatCode>
                <c:ptCount val="1"/>
                <c:pt idx="0">
                  <c:v>1</c:v>
                </c:pt>
              </c:numCache>
            </c:numRef>
          </c:val>
          <c:extLst xmlns:c16r2="http://schemas.microsoft.com/office/drawing/2015/06/chart">
            <c:ext xmlns:c15="http://schemas.microsoft.com/office/drawing/2012/chart" uri="{02D57815-91ED-43cb-92C2-25804820EDAC}">
              <c15:filteredCategoryTitle>
                <c15:cat>
                  <c:multiLvlStrRef>
                    <c:extLst>
                      <c:ext uri="{02D57815-91ED-43cb-92C2-25804820EDAC}">
                        <c15:formulaRef>
                          <c15:sqref>'Structures Bénéficiaires'!#REF!</c15:sqref>
                        </c15:formulaRef>
                      </c:ext>
                    </c:extLst>
                  </c:multiLvlStrRef>
                </c15:cat>
              </c15:filteredCategoryTitle>
            </c:ext>
            <c:ext xmlns:c16="http://schemas.microsoft.com/office/drawing/2014/chart" uri="{C3380CC4-5D6E-409C-BE32-E72D297353CC}">
              <c16:uniqueId val="{00000004-D8F6-4D45-A7CD-FA4C805547EC}"/>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978953999171156"/>
          <c:y val="0.25925981474537901"/>
          <c:w val="0.34526359994474376"/>
          <c:h val="0.59523976169645465"/>
        </c:manualLayout>
      </c:layout>
      <c:overlay val="0"/>
      <c:txPr>
        <a:bodyPr/>
        <a:lstStyle/>
        <a:p>
          <a:pPr>
            <a:defRPr sz="710" b="0" i="0" u="none" strike="noStrike" baseline="0">
              <a:solidFill>
                <a:srgbClr val="000000"/>
              </a:solidFill>
              <a:latin typeface="Calibri"/>
              <a:ea typeface="Calibri"/>
              <a:cs typeface="Calibri"/>
            </a:defRPr>
          </a:pPr>
          <a:endParaRPr lang="fr-FR"/>
        </a:p>
      </c:txPr>
    </c:legend>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fr-FR"/>
    </a:p>
  </c:txPr>
  <c:printSettings>
    <c:headerFooter/>
    <c:pageMargins b="0.75000000000000222" l="0.70000000000000062" r="0.70000000000000062" t="0.7500000000000022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820789792940663E-2"/>
          <c:y val="8.9108429469598793E-2"/>
          <c:w val="0.95544743810998389"/>
          <c:h val="0.70387426053929547"/>
        </c:manualLayout>
      </c:layout>
      <c:barChart>
        <c:barDir val="col"/>
        <c:grouping val="clustered"/>
        <c:varyColors val="0"/>
        <c:ser>
          <c:idx val="6"/>
          <c:order val="0"/>
          <c:tx>
            <c:strRef>
              <c:f>'Cifre Employeur'!$B$2</c:f>
              <c:strCache>
                <c:ptCount val="1"/>
                <c:pt idx="0">
                  <c:v>2012</c:v>
                </c:pt>
              </c:strCache>
            </c:strRef>
          </c:tx>
          <c:invertIfNegative val="0"/>
          <c:cat>
            <c:strRef>
              <c:f>'Cifre 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'Cifre Employeur'!$B$4:$B$7</c:f>
              <c:numCache>
                <c:formatCode>General</c:formatCode>
                <c:ptCount val="4"/>
                <c:pt idx="0">
                  <c:v>480</c:v>
                </c:pt>
                <c:pt idx="1">
                  <c:v>137</c:v>
                </c:pt>
                <c:pt idx="2">
                  <c:v>700</c:v>
                </c:pt>
                <c:pt idx="3">
                  <c:v>69</c:v>
                </c:pt>
              </c:numCache>
            </c:numRef>
          </c:val>
          <c:extLst xmlns:c16r2="http://schemas.microsoft.com/office/drawing/2015/06/chart">
            <c:ext xmlns:c16="http://schemas.microsoft.com/office/drawing/2014/chart" uri="{C3380CC4-5D6E-409C-BE32-E72D297353CC}">
              <c16:uniqueId val="{00000000-E294-4B9F-9E6D-99AAC3069FF2}"/>
            </c:ext>
          </c:extLst>
        </c:ser>
        <c:ser>
          <c:idx val="7"/>
          <c:order val="1"/>
          <c:tx>
            <c:strRef>
              <c:f>'Cifre Employeur'!$C$2</c:f>
              <c:strCache>
                <c:ptCount val="1"/>
                <c:pt idx="0">
                  <c:v>2013</c:v>
                </c:pt>
              </c:strCache>
            </c:strRef>
          </c:tx>
          <c:invertIfNegative val="0"/>
          <c:cat>
            <c:strRef>
              <c:f>'Cifre 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'Cifre Employeur'!$C$4:$C$7</c:f>
              <c:numCache>
                <c:formatCode>General</c:formatCode>
                <c:ptCount val="4"/>
                <c:pt idx="0">
                  <c:v>460</c:v>
                </c:pt>
                <c:pt idx="1">
                  <c:v>129</c:v>
                </c:pt>
                <c:pt idx="2">
                  <c:v>598</c:v>
                </c:pt>
                <c:pt idx="3">
                  <c:v>52</c:v>
                </c:pt>
              </c:numCache>
            </c:numRef>
          </c:val>
          <c:extLst xmlns:c16r2="http://schemas.microsoft.com/office/drawing/2015/06/chart">
            <c:ext xmlns:c16="http://schemas.microsoft.com/office/drawing/2014/chart" uri="{C3380CC4-5D6E-409C-BE32-E72D297353CC}">
              <c16:uniqueId val="{00000001-E294-4B9F-9E6D-99AAC3069FF2}"/>
            </c:ext>
          </c:extLst>
        </c:ser>
        <c:ser>
          <c:idx val="8"/>
          <c:order val="2"/>
          <c:tx>
            <c:strRef>
              <c:f>'Cifre Employeur'!$D$2</c:f>
              <c:strCache>
                <c:ptCount val="1"/>
                <c:pt idx="0">
                  <c:v>2014</c:v>
                </c:pt>
              </c:strCache>
            </c:strRef>
          </c:tx>
          <c:invertIfNegative val="0"/>
          <c:cat>
            <c:strRef>
              <c:f>'Cifre 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'Cifre Employeur'!$D$4:$D$7</c:f>
              <c:numCache>
                <c:formatCode>General</c:formatCode>
                <c:ptCount val="4"/>
                <c:pt idx="0">
                  <c:v>477</c:v>
                </c:pt>
                <c:pt idx="1">
                  <c:v>171</c:v>
                </c:pt>
                <c:pt idx="2">
                  <c:v>629</c:v>
                </c:pt>
                <c:pt idx="3">
                  <c:v>75</c:v>
                </c:pt>
              </c:numCache>
            </c:numRef>
          </c:val>
          <c:extLst xmlns:c16r2="http://schemas.microsoft.com/office/drawing/2015/06/chart">
            <c:ext xmlns:c16="http://schemas.microsoft.com/office/drawing/2014/chart" uri="{C3380CC4-5D6E-409C-BE32-E72D297353CC}">
              <c16:uniqueId val="{00000002-E294-4B9F-9E6D-99AAC3069FF2}"/>
            </c:ext>
          </c:extLst>
        </c:ser>
        <c:ser>
          <c:idx val="9"/>
          <c:order val="3"/>
          <c:tx>
            <c:strRef>
              <c:f>'Cifre Employeur'!$E$2</c:f>
              <c:strCache>
                <c:ptCount val="1"/>
                <c:pt idx="0">
                  <c:v>2015</c:v>
                </c:pt>
              </c:strCache>
            </c:strRef>
          </c:tx>
          <c:invertIfNegative val="0"/>
          <c:cat>
            <c:strRef>
              <c:f>'Cifre 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'Cifre Employeur'!$E$4:$E$7</c:f>
              <c:numCache>
                <c:formatCode>General</c:formatCode>
                <c:ptCount val="4"/>
                <c:pt idx="0">
                  <c:v>558</c:v>
                </c:pt>
                <c:pt idx="1">
                  <c:v>137</c:v>
                </c:pt>
                <c:pt idx="2">
                  <c:v>618</c:v>
                </c:pt>
                <c:pt idx="3">
                  <c:v>70</c:v>
                </c:pt>
              </c:numCache>
            </c:numRef>
          </c:val>
          <c:extLst xmlns:c16r2="http://schemas.microsoft.com/office/drawing/2015/06/chart">
            <c:ext xmlns:c16="http://schemas.microsoft.com/office/drawing/2014/chart" uri="{C3380CC4-5D6E-409C-BE32-E72D297353CC}">
              <c16:uniqueId val="{00000003-E294-4B9F-9E6D-99AAC3069FF2}"/>
            </c:ext>
          </c:extLst>
        </c:ser>
        <c:ser>
          <c:idx val="10"/>
          <c:order val="4"/>
          <c:tx>
            <c:strRef>
              <c:f>'Cifre Employeur'!$F$2</c:f>
              <c:strCache>
                <c:ptCount val="1"/>
                <c:pt idx="0">
                  <c:v>2016</c:v>
                </c:pt>
              </c:strCache>
            </c:strRef>
          </c:tx>
          <c:invertIfNegative val="0"/>
          <c:cat>
            <c:strRef>
              <c:f>'Cifre 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'Cifre Employeur'!$F$4:$F$7</c:f>
              <c:numCache>
                <c:formatCode>General</c:formatCode>
                <c:ptCount val="4"/>
                <c:pt idx="0">
                  <c:v>553</c:v>
                </c:pt>
                <c:pt idx="1">
                  <c:v>170</c:v>
                </c:pt>
                <c:pt idx="2">
                  <c:v>598</c:v>
                </c:pt>
                <c:pt idx="3">
                  <c:v>56</c:v>
                </c:pt>
              </c:numCache>
            </c:numRef>
          </c:val>
          <c:extLst xmlns:c16r2="http://schemas.microsoft.com/office/drawing/2015/06/chart">
            <c:ext xmlns:c16="http://schemas.microsoft.com/office/drawing/2014/chart" uri="{C3380CC4-5D6E-409C-BE32-E72D297353CC}">
              <c16:uniqueId val="{00000004-E294-4B9F-9E6D-99AAC3069FF2}"/>
            </c:ext>
          </c:extLst>
        </c:ser>
        <c:ser>
          <c:idx val="11"/>
          <c:order val="5"/>
          <c:tx>
            <c:strRef>
              <c:f>'Cifre Employeur'!$G$2</c:f>
              <c:strCache>
                <c:ptCount val="1"/>
                <c:pt idx="0">
                  <c:v>2017</c:v>
                </c:pt>
              </c:strCache>
            </c:strRef>
          </c:tx>
          <c:invertIfNegative val="0"/>
          <c:cat>
            <c:strRef>
              <c:f>'Cifre 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'Cifre Employeur'!$G$4:$G$7</c:f>
              <c:numCache>
                <c:formatCode>General</c:formatCode>
                <c:ptCount val="4"/>
                <c:pt idx="0">
                  <c:v>598</c:v>
                </c:pt>
                <c:pt idx="1">
                  <c:v>171</c:v>
                </c:pt>
                <c:pt idx="2">
                  <c:v>583</c:v>
                </c:pt>
                <c:pt idx="3">
                  <c:v>81</c:v>
                </c:pt>
              </c:numCache>
            </c:numRef>
          </c:val>
          <c:extLst xmlns:c16r2="http://schemas.microsoft.com/office/drawing/2015/06/chart">
            <c:ext xmlns:c16="http://schemas.microsoft.com/office/drawing/2014/chart" uri="{C3380CC4-5D6E-409C-BE32-E72D297353CC}">
              <c16:uniqueId val="{00000005-E294-4B9F-9E6D-99AAC3069FF2}"/>
            </c:ext>
          </c:extLst>
        </c:ser>
        <c:ser>
          <c:idx val="0"/>
          <c:order val="6"/>
          <c:tx>
            <c:strRef>
              <c:f>'Cifre Employeur'!$H$2</c:f>
              <c:strCache>
                <c:ptCount val="1"/>
                <c:pt idx="0">
                  <c:v>2018</c:v>
                </c:pt>
              </c:strCache>
            </c:strRef>
          </c:tx>
          <c:invertIfNegative val="0"/>
          <c:cat>
            <c:strRef>
              <c:f>'Cifre 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'Cifre Employeur'!$H$4:$H$7</c:f>
              <c:numCache>
                <c:formatCode>General</c:formatCode>
                <c:ptCount val="4"/>
                <c:pt idx="0">
                  <c:v>600</c:v>
                </c:pt>
                <c:pt idx="1">
                  <c:v>208</c:v>
                </c:pt>
                <c:pt idx="2">
                  <c:v>611</c:v>
                </c:pt>
                <c:pt idx="3">
                  <c:v>81</c:v>
                </c:pt>
              </c:numCache>
            </c:numRef>
          </c:val>
          <c:extLst xmlns:c16r2="http://schemas.microsoft.com/office/drawing/2015/06/chart">
            <c:ext xmlns:c16="http://schemas.microsoft.com/office/drawing/2014/chart" uri="{C3380CC4-5D6E-409C-BE32-E72D297353CC}">
              <c16:uniqueId val="{00000000-5B06-4028-A19C-5F740C96D63A}"/>
            </c:ext>
          </c:extLst>
        </c:ser>
        <c:ser>
          <c:idx val="1"/>
          <c:order val="7"/>
          <c:tx>
            <c:strRef>
              <c:f>'Cifre Employeur'!$I$2</c:f>
              <c:strCache>
                <c:ptCount val="1"/>
                <c:pt idx="0">
                  <c:v>2019</c:v>
                </c:pt>
              </c:strCache>
            </c:strRef>
          </c:tx>
          <c:invertIfNegative val="0"/>
          <c:cat>
            <c:strRef>
              <c:f>'Cifre 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'Cifre Employeur'!$I$4:$I$7</c:f>
              <c:numCache>
                <c:formatCode>General</c:formatCode>
                <c:ptCount val="4"/>
                <c:pt idx="0">
                  <c:v>520</c:v>
                </c:pt>
                <c:pt idx="1">
                  <c:v>182</c:v>
                </c:pt>
                <c:pt idx="2">
                  <c:v>629</c:v>
                </c:pt>
                <c:pt idx="3">
                  <c:v>119</c:v>
                </c:pt>
              </c:numCache>
            </c:numRef>
          </c:val>
          <c:extLst xmlns:c16r2="http://schemas.microsoft.com/office/drawing/2015/06/chart">
            <c:ext xmlns:c16="http://schemas.microsoft.com/office/drawing/2014/chart" uri="{C3380CC4-5D6E-409C-BE32-E72D297353CC}">
              <c16:uniqueId val="{00000001-5B06-4028-A19C-5F740C96D63A}"/>
            </c:ext>
          </c:extLst>
        </c:ser>
        <c:dLbls>
          <c:showLegendKey val="0"/>
          <c:showVal val="0"/>
          <c:showCatName val="0"/>
          <c:showSerName val="0"/>
          <c:showPercent val="0"/>
          <c:showBubbleSize val="0"/>
        </c:dLbls>
        <c:gapWidth val="219"/>
        <c:overlap val="-27"/>
        <c:axId val="297337600"/>
        <c:axId val="297339136"/>
      </c:barChart>
      <c:catAx>
        <c:axId val="297337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Arial" panose="020B0604020202020204" pitchFamily="34" charset="0"/>
                <a:ea typeface="Calibri"/>
                <a:cs typeface="Arial" panose="020B0604020202020204" pitchFamily="34" charset="0"/>
              </a:defRPr>
            </a:pPr>
            <a:endParaRPr lang="fr-FR"/>
          </a:p>
        </c:txPr>
        <c:crossAx val="297339136"/>
        <c:crosses val="autoZero"/>
        <c:auto val="1"/>
        <c:lblAlgn val="ctr"/>
        <c:lblOffset val="100"/>
        <c:noMultiLvlLbl val="0"/>
      </c:catAx>
      <c:valAx>
        <c:axId val="297339136"/>
        <c:scaling>
          <c:orientation val="minMax"/>
          <c:max val="750"/>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0" vert="horz"/>
          <a:lstStyle/>
          <a:p>
            <a:pPr>
              <a:defRPr sz="900" b="0" i="0" u="none" strike="noStrike" baseline="0">
                <a:solidFill>
                  <a:schemeClr val="tx1"/>
                </a:solidFill>
                <a:latin typeface="Arial" panose="020B0604020202020204" pitchFamily="34" charset="0"/>
                <a:ea typeface="Calibri"/>
                <a:cs typeface="Arial" panose="020B0604020202020204" pitchFamily="34" charset="0"/>
              </a:defRPr>
            </a:pPr>
            <a:endParaRPr lang="fr-FR"/>
          </a:p>
        </c:txPr>
        <c:crossAx val="297337600"/>
        <c:crosses val="autoZero"/>
        <c:crossBetween val="between"/>
      </c:valAx>
      <c:spPr>
        <a:noFill/>
        <a:ln w="25400">
          <a:noFill/>
        </a:ln>
      </c:spPr>
    </c:plotArea>
    <c:legend>
      <c:legendPos val="r"/>
      <c:layout>
        <c:manualLayout>
          <c:xMode val="edge"/>
          <c:yMode val="edge"/>
          <c:x val="0.74143215527772222"/>
          <c:y val="0.13313461408182312"/>
          <c:w val="9.8706656703712051E-2"/>
          <c:h val="0.43890585015676836"/>
        </c:manualLayout>
      </c:layout>
      <c:overlay val="0"/>
      <c:spPr>
        <a:noFill/>
        <a:ln w="25400">
          <a:noFill/>
        </a:ln>
      </c:spPr>
      <c:txPr>
        <a:bodyPr/>
        <a:lstStyle/>
        <a:p>
          <a:pPr>
            <a:defRPr sz="900" b="0" i="0" u="none" strike="noStrike" baseline="0">
              <a:solidFill>
                <a:srgbClr val="333333"/>
              </a:solidFill>
              <a:latin typeface="Arial" panose="020B0604020202020204" pitchFamily="34" charset="0"/>
              <a:ea typeface="Calibri"/>
              <a:cs typeface="Arial" panose="020B0604020202020204" pitchFamily="34" charset="0"/>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2820789792940663E-2"/>
          <c:y val="8.9108429469598793E-2"/>
          <c:w val="0.95544743810998389"/>
          <c:h val="0.7628508272562976"/>
        </c:manualLayout>
      </c:layout>
      <c:lineChart>
        <c:grouping val="standard"/>
        <c:varyColors val="0"/>
        <c:ser>
          <c:idx val="9"/>
          <c:order val="0"/>
          <c:tx>
            <c:strRef>
              <c:f>'Cifre Employeur'!$A$6</c:f>
              <c:strCache>
                <c:ptCount val="1"/>
                <c:pt idx="0">
                  <c:v>Groupes d'entreprises ou grandes entreprises &gt;= 5000 </c:v>
                </c:pt>
              </c:strCache>
            </c:strRef>
          </c:tx>
          <c:marker>
            <c:symbol val="none"/>
          </c:marker>
          <c:dLbls>
            <c:dLbl>
              <c:idx val="7"/>
              <c:layout>
                <c:manualLayout>
                  <c:x val="-2.6500709372961347E-2"/>
                  <c:y val="-4.806865653241689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3-F43B-4AB7-81E7-B15DB5769A12}"/>
                </c:ext>
              </c:extLst>
            </c:dLbl>
            <c:spPr>
              <a:solidFill>
                <a:schemeClr val="accent4">
                  <a:lumMod val="40000"/>
                  <a:lumOff val="60000"/>
                </a:schemeClr>
              </a:solidFill>
              <a:ln>
                <a:noFill/>
              </a:ln>
              <a:effectLst/>
            </c:spPr>
            <c:txPr>
              <a:bodyPr wrap="square" lIns="38100" tIns="19050" rIns="38100" bIns="19050" anchor="ctr">
                <a:spAutoFit/>
              </a:bodyPr>
              <a:lstStyle/>
              <a:p>
                <a:pPr>
                  <a:defRPr b="1"/>
                </a:pPr>
                <a:endParaRPr lang="fr-FR"/>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Ref>
              <c:f>'Cifre Employeur'!$B$2:$I$2</c:f>
              <c:numCache>
                <c:formatCode>General</c:formatCode>
                <c:ptCount val="8"/>
                <c:pt idx="0">
                  <c:v>2012</c:v>
                </c:pt>
                <c:pt idx="1">
                  <c:v>2013</c:v>
                </c:pt>
                <c:pt idx="2">
                  <c:v>2014</c:v>
                </c:pt>
                <c:pt idx="3">
                  <c:v>2015</c:v>
                </c:pt>
                <c:pt idx="4">
                  <c:v>2016</c:v>
                </c:pt>
                <c:pt idx="5">
                  <c:v>2017</c:v>
                </c:pt>
                <c:pt idx="6">
                  <c:v>2018</c:v>
                </c:pt>
                <c:pt idx="7">
                  <c:v>2019</c:v>
                </c:pt>
              </c:numCache>
            </c:numRef>
          </c:cat>
          <c:val>
            <c:numRef>
              <c:f>'Cifre Employeur'!$B$6:$I$6</c:f>
              <c:numCache>
                <c:formatCode>General</c:formatCode>
                <c:ptCount val="8"/>
                <c:pt idx="0">
                  <c:v>700</c:v>
                </c:pt>
                <c:pt idx="1">
                  <c:v>598</c:v>
                </c:pt>
                <c:pt idx="2">
                  <c:v>629</c:v>
                </c:pt>
                <c:pt idx="3">
                  <c:v>618</c:v>
                </c:pt>
                <c:pt idx="4">
                  <c:v>598</c:v>
                </c:pt>
                <c:pt idx="5">
                  <c:v>583</c:v>
                </c:pt>
                <c:pt idx="6">
                  <c:v>611</c:v>
                </c:pt>
                <c:pt idx="7">
                  <c:v>629</c:v>
                </c:pt>
              </c:numCache>
            </c:numRef>
          </c:val>
          <c:smooth val="0"/>
          <c:extLst xmlns:c16r2="http://schemas.microsoft.com/office/drawing/2015/06/chart">
            <c:ext xmlns:c16="http://schemas.microsoft.com/office/drawing/2014/chart" uri="{C3380CC4-5D6E-409C-BE32-E72D297353CC}">
              <c16:uniqueId val="{00000003-E294-4B9F-9E6D-99AAC3069FF2}"/>
            </c:ext>
          </c:extLst>
        </c:ser>
        <c:ser>
          <c:idx val="7"/>
          <c:order val="1"/>
          <c:tx>
            <c:strRef>
              <c:f>'Cifre Employeur'!$A$4</c:f>
              <c:strCache>
                <c:ptCount val="1"/>
                <c:pt idx="0">
                  <c:v>PME &lt; 250 salariés</c:v>
                </c:pt>
              </c:strCache>
            </c:strRef>
          </c:tx>
          <c:marker>
            <c:symbol val="none"/>
          </c:marker>
          <c:dLbls>
            <c:dLbl>
              <c:idx val="7"/>
              <c:layout>
                <c:manualLayout>
                  <c:x val="-1.4454932385251643E-2"/>
                  <c:y val="3.0901279199410849E-2"/>
                </c:manualLayout>
              </c:layout>
              <c:spPr>
                <a:solidFill>
                  <a:schemeClr val="accent2">
                    <a:lumMod val="40000"/>
                    <a:lumOff val="60000"/>
                  </a:schemeClr>
                </a:solidFill>
                <a:ln>
                  <a:noFill/>
                </a:ln>
                <a:effectLst/>
              </c:spPr>
              <c:txPr>
                <a:bodyPr wrap="square" lIns="38100" tIns="19050" rIns="38100" bIns="19050" anchor="ctr">
                  <a:spAutoFit/>
                </a:bodyPr>
                <a:lstStyle/>
                <a:p>
                  <a:pPr>
                    <a:defRPr b="1"/>
                  </a:pPr>
                  <a:endParaRPr lang="fr-FR"/>
                </a:p>
              </c:txP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2-F43B-4AB7-81E7-B15DB5769A12}"/>
                </c:ext>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ext>
            </c:extLst>
          </c:dLbls>
          <c:cat>
            <c:numRef>
              <c:f>'Cifre Employeur'!$B$2:$I$2</c:f>
              <c:numCache>
                <c:formatCode>General</c:formatCode>
                <c:ptCount val="8"/>
                <c:pt idx="0">
                  <c:v>2012</c:v>
                </c:pt>
                <c:pt idx="1">
                  <c:v>2013</c:v>
                </c:pt>
                <c:pt idx="2">
                  <c:v>2014</c:v>
                </c:pt>
                <c:pt idx="3">
                  <c:v>2015</c:v>
                </c:pt>
                <c:pt idx="4">
                  <c:v>2016</c:v>
                </c:pt>
                <c:pt idx="5">
                  <c:v>2017</c:v>
                </c:pt>
                <c:pt idx="6">
                  <c:v>2018</c:v>
                </c:pt>
                <c:pt idx="7">
                  <c:v>2019</c:v>
                </c:pt>
              </c:numCache>
            </c:numRef>
          </c:cat>
          <c:val>
            <c:numRef>
              <c:f>'Cifre Employeur'!$B$4:$I$4</c:f>
              <c:numCache>
                <c:formatCode>General</c:formatCode>
                <c:ptCount val="8"/>
                <c:pt idx="0">
                  <c:v>480</c:v>
                </c:pt>
                <c:pt idx="1">
                  <c:v>460</c:v>
                </c:pt>
                <c:pt idx="2">
                  <c:v>477</c:v>
                </c:pt>
                <c:pt idx="3">
                  <c:v>558</c:v>
                </c:pt>
                <c:pt idx="4">
                  <c:v>553</c:v>
                </c:pt>
                <c:pt idx="5">
                  <c:v>598</c:v>
                </c:pt>
                <c:pt idx="6">
                  <c:v>600</c:v>
                </c:pt>
                <c:pt idx="7">
                  <c:v>520</c:v>
                </c:pt>
              </c:numCache>
            </c:numRef>
          </c:val>
          <c:smooth val="0"/>
          <c:extLst xmlns:c16r2="http://schemas.microsoft.com/office/drawing/2015/06/chart">
            <c:ext xmlns:c16="http://schemas.microsoft.com/office/drawing/2014/chart" uri="{C3380CC4-5D6E-409C-BE32-E72D297353CC}">
              <c16:uniqueId val="{00000001-E294-4B9F-9E6D-99AAC3069FF2}"/>
            </c:ext>
          </c:extLst>
        </c:ser>
        <c:ser>
          <c:idx val="8"/>
          <c:order val="2"/>
          <c:tx>
            <c:strRef>
              <c:f>'Cifre Employeur'!$A$5</c:f>
              <c:strCache>
                <c:ptCount val="1"/>
                <c:pt idx="0">
                  <c:v>ETI entre 250 &amp; 5000 salariés</c:v>
                </c:pt>
              </c:strCache>
            </c:strRef>
          </c:tx>
          <c:marker>
            <c:symbol val="none"/>
          </c:marker>
          <c:dLbls>
            <c:dLbl>
              <c:idx val="7"/>
              <c:layout>
                <c:manualLayout>
                  <c:x val="-2.1682398577877467E-2"/>
                  <c:y val="-5.1502131999018083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1-F43B-4AB7-81E7-B15DB5769A12}"/>
                </c:ext>
              </c:extLst>
            </c:dLbl>
            <c:spPr>
              <a:solidFill>
                <a:schemeClr val="bg1">
                  <a:lumMod val="85000"/>
                </a:schemeClr>
              </a:solidFill>
              <a:ln>
                <a:noFill/>
              </a:ln>
              <a:effectLst/>
            </c:spPr>
            <c:txPr>
              <a:bodyPr wrap="square" lIns="38100" tIns="19050" rIns="38100" bIns="19050" anchor="ctr">
                <a:spAutoFit/>
              </a:bodyPr>
              <a:lstStyle/>
              <a:p>
                <a:pPr>
                  <a:defRPr b="1"/>
                </a:pPr>
                <a:endParaRPr lang="fr-FR"/>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Ref>
              <c:f>'Cifre Employeur'!$B$2:$I$2</c:f>
              <c:numCache>
                <c:formatCode>General</c:formatCode>
                <c:ptCount val="8"/>
                <c:pt idx="0">
                  <c:v>2012</c:v>
                </c:pt>
                <c:pt idx="1">
                  <c:v>2013</c:v>
                </c:pt>
                <c:pt idx="2">
                  <c:v>2014</c:v>
                </c:pt>
                <c:pt idx="3">
                  <c:v>2015</c:v>
                </c:pt>
                <c:pt idx="4">
                  <c:v>2016</c:v>
                </c:pt>
                <c:pt idx="5">
                  <c:v>2017</c:v>
                </c:pt>
                <c:pt idx="6">
                  <c:v>2018</c:v>
                </c:pt>
                <c:pt idx="7">
                  <c:v>2019</c:v>
                </c:pt>
              </c:numCache>
            </c:numRef>
          </c:cat>
          <c:val>
            <c:numRef>
              <c:f>'Cifre Employeur'!$B$5:$I$5</c:f>
              <c:numCache>
                <c:formatCode>General</c:formatCode>
                <c:ptCount val="8"/>
                <c:pt idx="0">
                  <c:v>137</c:v>
                </c:pt>
                <c:pt idx="1">
                  <c:v>129</c:v>
                </c:pt>
                <c:pt idx="2">
                  <c:v>171</c:v>
                </c:pt>
                <c:pt idx="3">
                  <c:v>137</c:v>
                </c:pt>
                <c:pt idx="4">
                  <c:v>170</c:v>
                </c:pt>
                <c:pt idx="5">
                  <c:v>171</c:v>
                </c:pt>
                <c:pt idx="6">
                  <c:v>208</c:v>
                </c:pt>
                <c:pt idx="7">
                  <c:v>182</c:v>
                </c:pt>
              </c:numCache>
            </c:numRef>
          </c:val>
          <c:smooth val="0"/>
          <c:extLst xmlns:c16r2="http://schemas.microsoft.com/office/drawing/2015/06/chart">
            <c:ext xmlns:c16="http://schemas.microsoft.com/office/drawing/2014/chart" uri="{C3380CC4-5D6E-409C-BE32-E72D297353CC}">
              <c16:uniqueId val="{00000002-E294-4B9F-9E6D-99AAC3069FF2}"/>
            </c:ext>
          </c:extLst>
        </c:ser>
        <c:ser>
          <c:idx val="10"/>
          <c:order val="3"/>
          <c:tx>
            <c:strRef>
              <c:f>'Cifre Employeur'!$A$7</c:f>
              <c:strCache>
                <c:ptCount val="1"/>
                <c:pt idx="0">
                  <c:v>Associations ou collectivités territoriales</c:v>
                </c:pt>
              </c:strCache>
            </c:strRef>
          </c:tx>
          <c:marker>
            <c:symbol val="none"/>
          </c:marker>
          <c:dLbls>
            <c:dLbl>
              <c:idx val="7"/>
              <c:layout>
                <c:manualLayout>
                  <c:x val="-2.1682398577877467E-2"/>
                  <c:y val="4.1201705599214461E-2"/>
                </c:manualLayout>
              </c:layout>
              <c:spPr>
                <a:solidFill>
                  <a:schemeClr val="accent1">
                    <a:lumMod val="40000"/>
                    <a:lumOff val="60000"/>
                  </a:schemeClr>
                </a:solidFill>
                <a:ln>
                  <a:noFill/>
                </a:ln>
                <a:effectLst/>
              </c:spPr>
              <c:txPr>
                <a:bodyPr wrap="square" lIns="38100" tIns="19050" rIns="38100" bIns="19050" anchor="ctr">
                  <a:spAutoFit/>
                </a:bodyPr>
                <a:lstStyle/>
                <a:p>
                  <a:pPr>
                    <a:defRPr b="1"/>
                  </a:pPr>
                  <a:endParaRPr lang="fr-FR"/>
                </a:p>
              </c:txPr>
              <c:showLegendKey val="0"/>
              <c:showVal val="1"/>
              <c:showCatName val="0"/>
              <c:showSerName val="0"/>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0-F43B-4AB7-81E7-B15DB5769A12}"/>
                </c:ext>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ext>
            </c:extLst>
          </c:dLbls>
          <c:cat>
            <c:numRef>
              <c:f>'Cifre Employeur'!$B$2:$I$2</c:f>
              <c:numCache>
                <c:formatCode>General</c:formatCode>
                <c:ptCount val="8"/>
                <c:pt idx="0">
                  <c:v>2012</c:v>
                </c:pt>
                <c:pt idx="1">
                  <c:v>2013</c:v>
                </c:pt>
                <c:pt idx="2">
                  <c:v>2014</c:v>
                </c:pt>
                <c:pt idx="3">
                  <c:v>2015</c:v>
                </c:pt>
                <c:pt idx="4">
                  <c:v>2016</c:v>
                </c:pt>
                <c:pt idx="5">
                  <c:v>2017</c:v>
                </c:pt>
                <c:pt idx="6">
                  <c:v>2018</c:v>
                </c:pt>
                <c:pt idx="7">
                  <c:v>2019</c:v>
                </c:pt>
              </c:numCache>
            </c:numRef>
          </c:cat>
          <c:val>
            <c:numRef>
              <c:f>'Cifre Employeur'!$B$7:$I$7</c:f>
              <c:numCache>
                <c:formatCode>General</c:formatCode>
                <c:ptCount val="8"/>
                <c:pt idx="0">
                  <c:v>69</c:v>
                </c:pt>
                <c:pt idx="1">
                  <c:v>52</c:v>
                </c:pt>
                <c:pt idx="2">
                  <c:v>75</c:v>
                </c:pt>
                <c:pt idx="3">
                  <c:v>70</c:v>
                </c:pt>
                <c:pt idx="4">
                  <c:v>56</c:v>
                </c:pt>
                <c:pt idx="5">
                  <c:v>81</c:v>
                </c:pt>
                <c:pt idx="6">
                  <c:v>81</c:v>
                </c:pt>
                <c:pt idx="7">
                  <c:v>119</c:v>
                </c:pt>
              </c:numCache>
            </c:numRef>
          </c:val>
          <c:smooth val="0"/>
          <c:extLst xmlns:c16r2="http://schemas.microsoft.com/office/drawing/2015/06/chart">
            <c:ext xmlns:c16="http://schemas.microsoft.com/office/drawing/2014/chart" uri="{C3380CC4-5D6E-409C-BE32-E72D297353CC}">
              <c16:uniqueId val="{00000004-E294-4B9F-9E6D-99AAC3069FF2}"/>
            </c:ext>
          </c:extLst>
        </c:ser>
        <c:dLbls>
          <c:showLegendKey val="0"/>
          <c:showVal val="0"/>
          <c:showCatName val="0"/>
          <c:showSerName val="0"/>
          <c:showPercent val="0"/>
          <c:showBubbleSize val="0"/>
        </c:dLbls>
        <c:marker val="1"/>
        <c:smooth val="0"/>
        <c:axId val="297434496"/>
        <c:axId val="297452672"/>
      </c:lineChart>
      <c:catAx>
        <c:axId val="297434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333333"/>
                </a:solidFill>
                <a:latin typeface="Arial" panose="020B0604020202020204" pitchFamily="34" charset="0"/>
                <a:ea typeface="Calibri"/>
                <a:cs typeface="Arial" panose="020B0604020202020204" pitchFamily="34" charset="0"/>
              </a:defRPr>
            </a:pPr>
            <a:endParaRPr lang="fr-FR"/>
          </a:p>
        </c:txPr>
        <c:crossAx val="297452672"/>
        <c:crosses val="autoZero"/>
        <c:auto val="1"/>
        <c:lblAlgn val="ctr"/>
        <c:lblOffset val="100"/>
        <c:noMultiLvlLbl val="0"/>
      </c:catAx>
      <c:valAx>
        <c:axId val="297452672"/>
        <c:scaling>
          <c:orientation val="minMax"/>
          <c:max val="750"/>
          <c:min val="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0" vert="horz"/>
          <a:lstStyle/>
          <a:p>
            <a:pPr>
              <a:defRPr sz="900" b="0" i="0" u="none" strike="noStrike" baseline="0">
                <a:solidFill>
                  <a:schemeClr val="tx1"/>
                </a:solidFill>
                <a:latin typeface="Arial" panose="020B0604020202020204" pitchFamily="34" charset="0"/>
                <a:ea typeface="Calibri"/>
                <a:cs typeface="Arial" panose="020B0604020202020204" pitchFamily="34" charset="0"/>
              </a:defRPr>
            </a:pPr>
            <a:endParaRPr lang="fr-FR"/>
          </a:p>
        </c:txPr>
        <c:crossAx val="297434496"/>
        <c:crosses val="autoZero"/>
        <c:crossBetween val="midCat"/>
      </c:valAx>
      <c:spPr>
        <a:noFill/>
        <a:ln w="25400">
          <a:noFill/>
        </a:ln>
      </c:spPr>
    </c:plotArea>
    <c:legend>
      <c:legendPos val="r"/>
      <c:layout>
        <c:manualLayout>
          <c:xMode val="edge"/>
          <c:yMode val="edge"/>
          <c:x val="0.29512514044712029"/>
          <c:y val="0.32540912428532343"/>
          <c:w val="0.68801079448102764"/>
          <c:h val="0.32701420647785978"/>
        </c:manualLayout>
      </c:layout>
      <c:overlay val="0"/>
      <c:spPr>
        <a:noFill/>
        <a:ln w="25400">
          <a:noFill/>
        </a:ln>
      </c:spPr>
      <c:txPr>
        <a:bodyPr/>
        <a:lstStyle/>
        <a:p>
          <a:pPr>
            <a:defRPr sz="900" b="0" i="0" u="none" strike="noStrike" baseline="0">
              <a:solidFill>
                <a:srgbClr val="333333"/>
              </a:solidFill>
              <a:latin typeface="Arial" panose="020B0604020202020204" pitchFamily="34" charset="0"/>
              <a:ea typeface="Calibri"/>
              <a:cs typeface="Arial" panose="020B0604020202020204" pitchFamily="34" charset="0"/>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Calibri"/>
                <a:ea typeface="Calibri"/>
                <a:cs typeface="Calibri"/>
              </a:defRPr>
            </a:pPr>
            <a:r>
              <a:rPr lang="fr-FR" sz="1200" b="1" i="0" u="none" strike="noStrike" baseline="0">
                <a:solidFill>
                  <a:srgbClr val="000000"/>
                </a:solidFill>
                <a:latin typeface="Calibri"/>
              </a:rPr>
              <a:t>Répartition des 1383 CIFRE acceptées en 2015 </a:t>
            </a:r>
          </a:p>
          <a:p>
            <a:pPr>
              <a:defRPr sz="1000" b="0" i="0" u="none" strike="noStrike" baseline="0">
                <a:solidFill>
                  <a:srgbClr val="000000"/>
                </a:solidFill>
                <a:latin typeface="Calibri"/>
                <a:ea typeface="Calibri"/>
                <a:cs typeface="Calibri"/>
              </a:defRPr>
            </a:pPr>
            <a:r>
              <a:rPr lang="fr-FR" sz="1200" b="1" i="0" u="none" strike="noStrike" baseline="0">
                <a:solidFill>
                  <a:srgbClr val="000000"/>
                </a:solidFill>
                <a:latin typeface="Calibri"/>
              </a:rPr>
              <a:t>selon le type d'employeur</a:t>
            </a:r>
          </a:p>
        </c:rich>
      </c:tx>
      <c:overlay val="0"/>
    </c:title>
    <c:autoTitleDeleted val="0"/>
    <c:plotArea>
      <c:layout/>
      <c:pieChart>
        <c:varyColors val="1"/>
        <c:ser>
          <c:idx val="0"/>
          <c:order val="0"/>
          <c:dPt>
            <c:idx val="0"/>
            <c:bubble3D val="0"/>
            <c:extLst xmlns:c16r2="http://schemas.microsoft.com/office/drawing/2015/06/chart">
              <c:ext xmlns:c16="http://schemas.microsoft.com/office/drawing/2014/chart" uri="{C3380CC4-5D6E-409C-BE32-E72D297353CC}">
                <c16:uniqueId val="{00000000-2DFD-47CF-9FA1-D0F41EF4906A}"/>
              </c:ext>
            </c:extLst>
          </c:dPt>
          <c:dPt>
            <c:idx val="1"/>
            <c:bubble3D val="0"/>
            <c:extLst xmlns:c16r2="http://schemas.microsoft.com/office/drawing/2015/06/chart">
              <c:ext xmlns:c16="http://schemas.microsoft.com/office/drawing/2014/chart" uri="{C3380CC4-5D6E-409C-BE32-E72D297353CC}">
                <c16:uniqueId val="{00000001-2DFD-47CF-9FA1-D0F41EF4906A}"/>
              </c:ext>
            </c:extLst>
          </c:dPt>
          <c:dPt>
            <c:idx val="2"/>
            <c:bubble3D val="0"/>
            <c:extLst xmlns:c16r2="http://schemas.microsoft.com/office/drawing/2015/06/chart">
              <c:ext xmlns:c16="http://schemas.microsoft.com/office/drawing/2014/chart" uri="{C3380CC4-5D6E-409C-BE32-E72D297353CC}">
                <c16:uniqueId val="{00000002-2DFD-47CF-9FA1-D0F41EF4906A}"/>
              </c:ext>
            </c:extLst>
          </c:dPt>
          <c:dPt>
            <c:idx val="3"/>
            <c:bubble3D val="0"/>
            <c:extLst xmlns:c16r2="http://schemas.microsoft.com/office/drawing/2015/06/chart">
              <c:ext xmlns:c16="http://schemas.microsoft.com/office/drawing/2014/chart" uri="{C3380CC4-5D6E-409C-BE32-E72D297353CC}">
                <c16:uniqueId val="{00000003-2DFD-47CF-9FA1-D0F41EF4906A}"/>
              </c:ext>
            </c:extLst>
          </c:dPt>
          <c:dLbls>
            <c:spPr>
              <a:noFill/>
              <a:ln w="25400">
                <a:noFill/>
              </a:ln>
            </c:spPr>
            <c:txPr>
              <a:bodyPr/>
              <a:lstStyle/>
              <a:p>
                <a:pPr>
                  <a:defRPr sz="1000" b="0" i="0" u="none" strike="noStrike" baseline="0">
                    <a:solidFill>
                      <a:srgbClr val="000000"/>
                    </a:solidFill>
                    <a:latin typeface="Calibri"/>
                    <a:ea typeface="Calibri"/>
                    <a:cs typeface="Calibri"/>
                  </a:defRPr>
                </a:pPr>
                <a:endParaRPr lang="fr-FR"/>
              </a:p>
            </c:txPr>
            <c:showLegendKey val="0"/>
            <c:showVal val="1"/>
            <c:showCatName val="0"/>
            <c:showSerName val="0"/>
            <c:showPercent val="1"/>
            <c:showBubbleSize val="0"/>
            <c:showLeaderLines val="1"/>
            <c:extLst xmlns:c16r2="http://schemas.microsoft.com/office/drawing/2015/06/chart">
              <c:ext xmlns:c15="http://schemas.microsoft.com/office/drawing/2012/chart" uri="{CE6537A1-D6FC-4f65-9D91-7224C49458BB}"/>
            </c:extLst>
          </c:dLbls>
          <c:val>
            <c:numRef>
              <c:f>'Structures Bénéficiaires'!#REF!</c:f>
              <c:numCache>
                <c:formatCode>General</c:formatCode>
                <c:ptCount val="1"/>
                <c:pt idx="0">
                  <c:v>1</c:v>
                </c:pt>
              </c:numCache>
            </c:numRef>
          </c:val>
          <c:extLst xmlns:c16r2="http://schemas.microsoft.com/office/drawing/2015/06/chart">
            <c:ext xmlns:c15="http://schemas.microsoft.com/office/drawing/2012/chart" uri="{02D57815-91ED-43cb-92C2-25804820EDAC}">
              <c15:filteredCategoryTitle>
                <c15:cat>
                  <c:multiLvlStrRef>
                    <c:extLst>
                      <c:ext uri="{02D57815-91ED-43cb-92C2-25804820EDAC}">
                        <c15:formulaRef>
                          <c15:sqref>'Structures Bénéficiaires'!#REF!</c15:sqref>
                        </c15:formulaRef>
                      </c:ext>
                    </c:extLst>
                  </c:multiLvlStrRef>
                </c15:cat>
              </c15:filteredCategoryTitle>
            </c:ext>
            <c:ext xmlns:c16="http://schemas.microsoft.com/office/drawing/2014/chart" uri="{C3380CC4-5D6E-409C-BE32-E72D297353CC}">
              <c16:uniqueId val="{00000004-2DFD-47CF-9FA1-D0F41EF4906A}"/>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5978953999171156"/>
          <c:y val="0.25925981474537901"/>
          <c:w val="0.34526359994474376"/>
          <c:h val="0.59523976169645465"/>
        </c:manualLayout>
      </c:layout>
      <c:overlay val="0"/>
      <c:txPr>
        <a:bodyPr/>
        <a:lstStyle/>
        <a:p>
          <a:pPr>
            <a:defRPr sz="710" b="0" i="0" u="none" strike="noStrike" baseline="0">
              <a:solidFill>
                <a:srgbClr val="000000"/>
              </a:solidFill>
              <a:latin typeface="Calibri"/>
              <a:ea typeface="Calibri"/>
              <a:cs typeface="Calibri"/>
            </a:defRPr>
          </a:pPr>
          <a:endParaRPr lang="fr-FR"/>
        </a:p>
      </c:txPr>
    </c:legend>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fr-FR"/>
    </a:p>
  </c:txPr>
  <c:printSettings>
    <c:headerFooter/>
    <c:pageMargins b="0.75000000000000222" l="0.70000000000000062" r="0.70000000000000062" t="0.7500000000000022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7311996448205232E-2"/>
          <c:y val="0.11269627520487764"/>
          <c:w val="0.94447402039346851"/>
          <c:h val="0.6687913741545678"/>
        </c:manualLayout>
      </c:layout>
      <c:barChart>
        <c:barDir val="col"/>
        <c:grouping val="clustered"/>
        <c:varyColors val="0"/>
        <c:ser>
          <c:idx val="6"/>
          <c:order val="0"/>
          <c:tx>
            <c:strRef>
              <c:f>Employeur!$B$3</c:f>
              <c:strCache>
                <c:ptCount val="1"/>
                <c:pt idx="0">
                  <c:v>2012</c:v>
                </c:pt>
              </c:strCache>
            </c:strRef>
          </c:tx>
          <c:invertIfNegative val="0"/>
          <c:cat>
            <c:strRef>
              <c:f>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Employeur!$B$4:$B$7</c:f>
              <c:numCache>
                <c:formatCode>General</c:formatCode>
                <c:ptCount val="4"/>
                <c:pt idx="0">
                  <c:v>446</c:v>
                </c:pt>
                <c:pt idx="1">
                  <c:v>102</c:v>
                </c:pt>
                <c:pt idx="2">
                  <c:v>116</c:v>
                </c:pt>
                <c:pt idx="3">
                  <c:v>60</c:v>
                </c:pt>
              </c:numCache>
            </c:numRef>
          </c:val>
          <c:extLst xmlns:c16r2="http://schemas.microsoft.com/office/drawing/2015/06/chart">
            <c:ext xmlns:c16="http://schemas.microsoft.com/office/drawing/2014/chart" uri="{C3380CC4-5D6E-409C-BE32-E72D297353CC}">
              <c16:uniqueId val="{00000000-72CA-4FC2-B063-C7DCF680AE3C}"/>
            </c:ext>
          </c:extLst>
        </c:ser>
        <c:ser>
          <c:idx val="7"/>
          <c:order val="1"/>
          <c:tx>
            <c:strRef>
              <c:f>Employeur!$C$3</c:f>
              <c:strCache>
                <c:ptCount val="1"/>
                <c:pt idx="0">
                  <c:v>2013</c:v>
                </c:pt>
              </c:strCache>
            </c:strRef>
          </c:tx>
          <c:invertIfNegative val="0"/>
          <c:cat>
            <c:strRef>
              <c:f>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Employeur!$C$4:$C$7</c:f>
              <c:numCache>
                <c:formatCode>General</c:formatCode>
                <c:ptCount val="4"/>
                <c:pt idx="0">
                  <c:v>433</c:v>
                </c:pt>
                <c:pt idx="1">
                  <c:v>100</c:v>
                </c:pt>
                <c:pt idx="2">
                  <c:v>112</c:v>
                </c:pt>
                <c:pt idx="3">
                  <c:v>48</c:v>
                </c:pt>
              </c:numCache>
            </c:numRef>
          </c:val>
          <c:extLst xmlns:c16r2="http://schemas.microsoft.com/office/drawing/2015/06/chart">
            <c:ext xmlns:c16="http://schemas.microsoft.com/office/drawing/2014/chart" uri="{C3380CC4-5D6E-409C-BE32-E72D297353CC}">
              <c16:uniqueId val="{00000001-72CA-4FC2-B063-C7DCF680AE3C}"/>
            </c:ext>
          </c:extLst>
        </c:ser>
        <c:ser>
          <c:idx val="8"/>
          <c:order val="2"/>
          <c:tx>
            <c:strRef>
              <c:f>Employeur!$D$3</c:f>
              <c:strCache>
                <c:ptCount val="1"/>
                <c:pt idx="0">
                  <c:v>2014</c:v>
                </c:pt>
              </c:strCache>
            </c:strRef>
          </c:tx>
          <c:invertIfNegative val="0"/>
          <c:cat>
            <c:strRef>
              <c:f>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Employeur!$D$4:$D$7</c:f>
              <c:numCache>
                <c:formatCode>General</c:formatCode>
                <c:ptCount val="4"/>
                <c:pt idx="0">
                  <c:v>451</c:v>
                </c:pt>
                <c:pt idx="1">
                  <c:v>132</c:v>
                </c:pt>
                <c:pt idx="2">
                  <c:v>95</c:v>
                </c:pt>
                <c:pt idx="3">
                  <c:v>63</c:v>
                </c:pt>
              </c:numCache>
            </c:numRef>
          </c:val>
          <c:extLst xmlns:c16r2="http://schemas.microsoft.com/office/drawing/2015/06/chart">
            <c:ext xmlns:c16="http://schemas.microsoft.com/office/drawing/2014/chart" uri="{C3380CC4-5D6E-409C-BE32-E72D297353CC}">
              <c16:uniqueId val="{00000002-72CA-4FC2-B063-C7DCF680AE3C}"/>
            </c:ext>
          </c:extLst>
        </c:ser>
        <c:ser>
          <c:idx val="9"/>
          <c:order val="3"/>
          <c:tx>
            <c:strRef>
              <c:f>Employeur!$E$3</c:f>
              <c:strCache>
                <c:ptCount val="1"/>
                <c:pt idx="0">
                  <c:v>2015</c:v>
                </c:pt>
              </c:strCache>
            </c:strRef>
          </c:tx>
          <c:invertIfNegative val="0"/>
          <c:cat>
            <c:strRef>
              <c:f>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Employeur!$E$4:$E$7</c:f>
              <c:numCache>
                <c:formatCode>General</c:formatCode>
                <c:ptCount val="4"/>
                <c:pt idx="0">
                  <c:v>512</c:v>
                </c:pt>
                <c:pt idx="1">
                  <c:v>107</c:v>
                </c:pt>
                <c:pt idx="2">
                  <c:v>105</c:v>
                </c:pt>
                <c:pt idx="3">
                  <c:v>60</c:v>
                </c:pt>
              </c:numCache>
            </c:numRef>
          </c:val>
          <c:extLst xmlns:c16r2="http://schemas.microsoft.com/office/drawing/2015/06/chart">
            <c:ext xmlns:c16="http://schemas.microsoft.com/office/drawing/2014/chart" uri="{C3380CC4-5D6E-409C-BE32-E72D297353CC}">
              <c16:uniqueId val="{00000003-72CA-4FC2-B063-C7DCF680AE3C}"/>
            </c:ext>
          </c:extLst>
        </c:ser>
        <c:ser>
          <c:idx val="10"/>
          <c:order val="4"/>
          <c:tx>
            <c:strRef>
              <c:f>Employeur!$F$3</c:f>
              <c:strCache>
                <c:ptCount val="1"/>
                <c:pt idx="0">
                  <c:v>2016</c:v>
                </c:pt>
              </c:strCache>
            </c:strRef>
          </c:tx>
          <c:invertIfNegative val="0"/>
          <c:cat>
            <c:strRef>
              <c:f>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Employeur!$F$4:$F$7</c:f>
              <c:numCache>
                <c:formatCode>General</c:formatCode>
                <c:ptCount val="4"/>
                <c:pt idx="0">
                  <c:v>510</c:v>
                </c:pt>
                <c:pt idx="1">
                  <c:v>127</c:v>
                </c:pt>
                <c:pt idx="2">
                  <c:v>108</c:v>
                </c:pt>
                <c:pt idx="3">
                  <c:v>48</c:v>
                </c:pt>
              </c:numCache>
            </c:numRef>
          </c:val>
          <c:extLst xmlns:c16r2="http://schemas.microsoft.com/office/drawing/2015/06/chart">
            <c:ext xmlns:c16="http://schemas.microsoft.com/office/drawing/2014/chart" uri="{C3380CC4-5D6E-409C-BE32-E72D297353CC}">
              <c16:uniqueId val="{00000004-72CA-4FC2-B063-C7DCF680AE3C}"/>
            </c:ext>
          </c:extLst>
        </c:ser>
        <c:ser>
          <c:idx val="11"/>
          <c:order val="5"/>
          <c:tx>
            <c:strRef>
              <c:f>Employeur!$G$3</c:f>
              <c:strCache>
                <c:ptCount val="1"/>
                <c:pt idx="0">
                  <c:v>2017</c:v>
                </c:pt>
              </c:strCache>
            </c:strRef>
          </c:tx>
          <c:invertIfNegative val="0"/>
          <c:cat>
            <c:strRef>
              <c:f>Employeur!$A$4:$A$7</c:f>
              <c:strCache>
                <c:ptCount val="4"/>
                <c:pt idx="0">
                  <c:v>PME &lt; 250 salariés</c:v>
                </c:pt>
                <c:pt idx="1">
                  <c:v>ETI entre 250 &amp; 5000 salariés</c:v>
                </c:pt>
                <c:pt idx="2">
                  <c:v>Groupes d'entreprises ou grandes entreprises &gt;= 5000 </c:v>
                </c:pt>
                <c:pt idx="3">
                  <c:v>Associations ou collectivités territoriales</c:v>
                </c:pt>
              </c:strCache>
            </c:strRef>
          </c:cat>
          <c:val>
            <c:numRef>
              <c:f>Employeur!$G$4:$G$7</c:f>
              <c:numCache>
                <c:formatCode>General</c:formatCode>
                <c:ptCount val="4"/>
                <c:pt idx="0">
                  <c:v>541</c:v>
                </c:pt>
                <c:pt idx="1">
                  <c:v>141</c:v>
                </c:pt>
                <c:pt idx="2">
                  <c:v>98</c:v>
                </c:pt>
                <c:pt idx="3">
                  <c:v>70</c:v>
                </c:pt>
              </c:numCache>
            </c:numRef>
          </c:val>
          <c:extLst xmlns:c16r2="http://schemas.microsoft.com/office/drawing/2015/06/chart">
            <c:ext xmlns:c16="http://schemas.microsoft.com/office/drawing/2014/chart" uri="{C3380CC4-5D6E-409C-BE32-E72D297353CC}">
              <c16:uniqueId val="{00000005-72CA-4FC2-B063-C7DCF680AE3C}"/>
            </c:ext>
          </c:extLst>
        </c:ser>
        <c:ser>
          <c:idx val="0"/>
          <c:order val="6"/>
          <c:tx>
            <c:strRef>
              <c:f>Employeur!$H$3</c:f>
              <c:strCache>
                <c:ptCount val="1"/>
                <c:pt idx="0">
                  <c:v>2018</c:v>
                </c:pt>
              </c:strCache>
            </c:strRef>
          </c:tx>
          <c:invertIfNegative val="0"/>
          <c:val>
            <c:numRef>
              <c:f>Employeur!$H$4:$H$7</c:f>
              <c:numCache>
                <c:formatCode>General</c:formatCode>
                <c:ptCount val="4"/>
                <c:pt idx="0">
                  <c:v>556</c:v>
                </c:pt>
                <c:pt idx="1">
                  <c:v>159</c:v>
                </c:pt>
                <c:pt idx="2">
                  <c:v>92</c:v>
                </c:pt>
                <c:pt idx="3">
                  <c:v>65</c:v>
                </c:pt>
              </c:numCache>
            </c:numRef>
          </c:val>
          <c:extLst xmlns:c16r2="http://schemas.microsoft.com/office/drawing/2015/06/chart">
            <c:ext xmlns:c16="http://schemas.microsoft.com/office/drawing/2014/chart" uri="{C3380CC4-5D6E-409C-BE32-E72D297353CC}">
              <c16:uniqueId val="{00000000-84CA-42CD-B170-6570D1F9252F}"/>
            </c:ext>
          </c:extLst>
        </c:ser>
        <c:ser>
          <c:idx val="1"/>
          <c:order val="7"/>
          <c:tx>
            <c:strRef>
              <c:f>Employeur!$I$3</c:f>
              <c:strCache>
                <c:ptCount val="1"/>
                <c:pt idx="0">
                  <c:v>2019</c:v>
                </c:pt>
              </c:strCache>
            </c:strRef>
          </c:tx>
          <c:invertIfNegative val="0"/>
          <c:val>
            <c:numRef>
              <c:f>Employeur!$I$4:$I$7</c:f>
              <c:numCache>
                <c:formatCode>General</c:formatCode>
                <c:ptCount val="4"/>
                <c:pt idx="0">
                  <c:v>476</c:v>
                </c:pt>
                <c:pt idx="1">
                  <c:v>128</c:v>
                </c:pt>
                <c:pt idx="2">
                  <c:v>113</c:v>
                </c:pt>
                <c:pt idx="3">
                  <c:v>97</c:v>
                </c:pt>
              </c:numCache>
            </c:numRef>
          </c:val>
          <c:extLst xmlns:c16r2="http://schemas.microsoft.com/office/drawing/2015/06/chart">
            <c:ext xmlns:c16="http://schemas.microsoft.com/office/drawing/2014/chart" uri="{C3380CC4-5D6E-409C-BE32-E72D297353CC}">
              <c16:uniqueId val="{00000001-84CA-42CD-B170-6570D1F9252F}"/>
            </c:ext>
          </c:extLst>
        </c:ser>
        <c:dLbls>
          <c:showLegendKey val="0"/>
          <c:showVal val="0"/>
          <c:showCatName val="0"/>
          <c:showSerName val="0"/>
          <c:showPercent val="0"/>
          <c:showBubbleSize val="0"/>
        </c:dLbls>
        <c:gapWidth val="219"/>
        <c:overlap val="-27"/>
        <c:axId val="297636608"/>
        <c:axId val="297638144"/>
      </c:barChart>
      <c:catAx>
        <c:axId val="297636608"/>
        <c:scaling>
          <c:orientation val="minMax"/>
        </c:scaling>
        <c:delete val="1"/>
        <c:axPos val="b"/>
        <c:numFmt formatCode="General" sourceLinked="0"/>
        <c:majorTickMark val="out"/>
        <c:minorTickMark val="none"/>
        <c:tickLblPos val="nextTo"/>
        <c:crossAx val="297638144"/>
        <c:crossesAt val="0"/>
        <c:auto val="1"/>
        <c:lblAlgn val="ctr"/>
        <c:lblOffset val="100"/>
        <c:noMultiLvlLbl val="0"/>
      </c:catAx>
      <c:valAx>
        <c:axId val="2976381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0" vert="horz"/>
          <a:lstStyle/>
          <a:p>
            <a:pPr>
              <a:defRPr sz="900" b="0" i="0" u="none" strike="noStrike" baseline="0">
                <a:solidFill>
                  <a:srgbClr val="333333"/>
                </a:solidFill>
                <a:latin typeface="Calibri"/>
                <a:ea typeface="Calibri"/>
                <a:cs typeface="Calibri"/>
              </a:defRPr>
            </a:pPr>
            <a:endParaRPr lang="fr-FR"/>
          </a:p>
        </c:txPr>
        <c:crossAx val="297636608"/>
        <c:crosses val="autoZero"/>
        <c:crossBetween val="between"/>
      </c:valAx>
      <c:spPr>
        <a:noFill/>
        <a:ln w="25400">
          <a:noFill/>
        </a:ln>
      </c:spPr>
    </c:plotArea>
    <c:legend>
      <c:legendPos val="r"/>
      <c:layout>
        <c:manualLayout>
          <c:xMode val="edge"/>
          <c:yMode val="edge"/>
          <c:x val="0.82930378277005856"/>
          <c:y val="0.12415736165170084"/>
          <c:w val="7.8052747580175177E-2"/>
          <c:h val="0.40314771632339846"/>
        </c:manualLayout>
      </c:layout>
      <c:overlay val="0"/>
      <c:spPr>
        <a:noFill/>
        <a:ln w="25400">
          <a:noFill/>
        </a:ln>
      </c:spPr>
      <c:txPr>
        <a:bodyPr/>
        <a:lstStyle/>
        <a:p>
          <a:pPr>
            <a:defRPr sz="900" b="0" i="0" u="none" strike="noStrike" baseline="0">
              <a:solidFill>
                <a:srgbClr val="333333"/>
              </a:solidFill>
              <a:latin typeface="Arial" panose="020B0604020202020204" pitchFamily="34" charset="0"/>
              <a:ea typeface="Calibri"/>
              <a:cs typeface="Arial" panose="020B0604020202020204" pitchFamily="34" charset="0"/>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0.75000000000000078" l="0.70000000000000062" r="0.70000000000000062" t="0.75000000000000078"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anose="020B0604020202020204" pitchFamily="34" charset="0"/>
                <a:cs typeface="Arial" panose="020B0604020202020204" pitchFamily="34" charset="0"/>
              </a:defRPr>
            </a:pPr>
            <a:r>
              <a:rPr lang="en-US" sz="1200" b="1" i="0" baseline="0">
                <a:effectLst/>
                <a:latin typeface="Arial" panose="020B0604020202020204" pitchFamily="34" charset="0"/>
                <a:cs typeface="Arial" panose="020B0604020202020204" pitchFamily="34" charset="0"/>
              </a:rPr>
              <a:t>Répartition des 1450 Cifre acceptées en 2019</a:t>
            </a:r>
          </a:p>
          <a:p>
            <a:pPr>
              <a:defRPr sz="1200">
                <a:latin typeface="Arial" panose="020B0604020202020204" pitchFamily="34" charset="0"/>
                <a:cs typeface="Arial" panose="020B0604020202020204" pitchFamily="34" charset="0"/>
              </a:defRPr>
            </a:pPr>
            <a:r>
              <a:rPr lang="en-US" sz="1200" b="1" i="0" baseline="0">
                <a:effectLst/>
                <a:latin typeface="Arial" panose="020B0604020202020204" pitchFamily="34" charset="0"/>
                <a:cs typeface="Arial" panose="020B0604020202020204" pitchFamily="34" charset="0"/>
              </a:rPr>
              <a:t>selon le secteur d'activité</a:t>
            </a:r>
            <a:endParaRPr lang="fr-FR" sz="1200">
              <a:effectLst/>
              <a:latin typeface="Arial" panose="020B0604020202020204" pitchFamily="34" charset="0"/>
              <a:cs typeface="Arial" panose="020B0604020202020204" pitchFamily="34" charset="0"/>
            </a:endParaRPr>
          </a:p>
        </c:rich>
      </c:tx>
      <c:overlay val="0"/>
    </c:title>
    <c:autoTitleDeleted val="0"/>
    <c:plotArea>
      <c:layout/>
      <c:pieChart>
        <c:varyColors val="1"/>
        <c:ser>
          <c:idx val="0"/>
          <c:order val="0"/>
          <c:tx>
            <c:strRef>
              <c:f>Secteur!$J$3</c:f>
              <c:strCache>
                <c:ptCount val="1"/>
                <c:pt idx="0">
                  <c:v>Ensemble
</c:v>
                </c:pt>
              </c:strCache>
            </c:strRef>
          </c:tx>
          <c:dLbls>
            <c:dLbl>
              <c:idx val="7"/>
              <c:layout>
                <c:manualLayout>
                  <c:x val="-2.3875114784205727E-2"/>
                  <c:y val="0"/>
                </c:manualLayout>
              </c:layout>
              <c:dLblPos val="bestFit"/>
              <c:showLegendKey val="0"/>
              <c:showVal val="1"/>
              <c:showCatName val="0"/>
              <c:showSerName val="0"/>
              <c:showPercent val="1"/>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1-0740-4179-8FB7-A54CB7E88827}"/>
                </c:ext>
              </c:extLst>
            </c:dLbl>
            <c:dLbl>
              <c:idx val="12"/>
              <c:layout>
                <c:manualLayout>
                  <c:x val="9.1335690476706949E-3"/>
                  <c:y val="-2.650690170844288E-2"/>
                </c:manualLayout>
              </c:layout>
              <c:dLblPos val="bestFit"/>
              <c:showLegendKey val="0"/>
              <c:showVal val="1"/>
              <c:showCatName val="0"/>
              <c:showSerName val="0"/>
              <c:showPercent val="1"/>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0-AF90-4CAD-8DC9-F470E9C0991D}"/>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fr-FR"/>
              </a:p>
            </c:txPr>
            <c:dLblPos val="outEnd"/>
            <c:showLegendKey val="0"/>
            <c:showVal val="1"/>
            <c:showCatName val="0"/>
            <c:showSerName val="0"/>
            <c:showPercent val="1"/>
            <c:showBubbleSize val="0"/>
            <c:showLeaderLines val="1"/>
            <c:extLst xmlns:c16r2="http://schemas.microsoft.com/office/drawing/2015/06/chart">
              <c:ext xmlns:c15="http://schemas.microsoft.com/office/drawing/2012/chart" uri="{CE6537A1-D6FC-4f65-9D91-7224C49458BB}">
                <c15:layout/>
              </c:ext>
            </c:extLst>
          </c:dLbls>
          <c:cat>
            <c:strRef>
              <c:f>Secteur!$A$4:$A$16</c:f>
              <c:strCache>
                <c:ptCount val="13"/>
                <c:pt idx="0">
                  <c:v>Aéronautique &amp; spatial</c:v>
                </c:pt>
                <c:pt idx="1">
                  <c:v>Electronique communication &amp; informatique</c:v>
                </c:pt>
                <c:pt idx="2">
                  <c:v>Energie production et distribution</c:v>
                </c:pt>
                <c:pt idx="3">
                  <c:v>Equipement &amp; produits</c:v>
                </c:pt>
                <c:pt idx="4">
                  <c:v>Transports terrestres &amp; navals </c:v>
                </c:pt>
                <c:pt idx="5">
                  <c:v>Chimie &amp; matériaux</c:v>
                </c:pt>
                <c:pt idx="6">
                  <c:v>Pharmaceutique &amp; médical</c:v>
                </c:pt>
                <c:pt idx="7">
                  <c:v>Agroalimentaire</c:v>
                </c:pt>
                <c:pt idx="8">
                  <c:v>Services R&amp;D et ingénierie</c:v>
                </c:pt>
                <c:pt idx="9">
                  <c:v>Finance &amp; Juridique</c:v>
                </c:pt>
                <c:pt idx="10">
                  <c:v>Services tertiaires</c:v>
                </c:pt>
                <c:pt idx="11">
                  <c:v>Edition</c:v>
                </c:pt>
                <c:pt idx="12">
                  <c:v>BTP</c:v>
                </c:pt>
              </c:strCache>
            </c:strRef>
          </c:cat>
          <c:val>
            <c:numRef>
              <c:f>Secteur!$J$4:$J$16</c:f>
              <c:numCache>
                <c:formatCode>General</c:formatCode>
                <c:ptCount val="13"/>
                <c:pt idx="0">
                  <c:v>97</c:v>
                </c:pt>
                <c:pt idx="1">
                  <c:v>261</c:v>
                </c:pt>
                <c:pt idx="2">
                  <c:v>92</c:v>
                </c:pt>
                <c:pt idx="3">
                  <c:v>196</c:v>
                </c:pt>
                <c:pt idx="4">
                  <c:v>22</c:v>
                </c:pt>
                <c:pt idx="5">
                  <c:v>61</c:v>
                </c:pt>
                <c:pt idx="6">
                  <c:v>26</c:v>
                </c:pt>
                <c:pt idx="7">
                  <c:v>30</c:v>
                </c:pt>
                <c:pt idx="8">
                  <c:v>272</c:v>
                </c:pt>
                <c:pt idx="9">
                  <c:v>120</c:v>
                </c:pt>
                <c:pt idx="10">
                  <c:v>217</c:v>
                </c:pt>
                <c:pt idx="11">
                  <c:v>43</c:v>
                </c:pt>
                <c:pt idx="12">
                  <c:v>13</c:v>
                </c:pt>
              </c:numCache>
            </c:numRef>
          </c:val>
          <c:extLst xmlns:c16r2="http://schemas.microsoft.com/office/drawing/2015/06/chart">
            <c:ext xmlns:c16="http://schemas.microsoft.com/office/drawing/2014/chart" uri="{C3380CC4-5D6E-409C-BE32-E72D297353CC}">
              <c16:uniqueId val="{00000001-AF90-4CAD-8DC9-F470E9C0991D}"/>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52850625076824"/>
          <c:y val="0.1376957884290069"/>
          <c:w val="0.30920529561903937"/>
          <c:h val="0.77198924905112598"/>
        </c:manualLayout>
      </c:layout>
      <c:overlay val="0"/>
      <c:txPr>
        <a:bodyPr/>
        <a:lstStyle/>
        <a:p>
          <a:pPr rtl="0">
            <a:defRPr sz="800">
              <a:latin typeface="Arial" panose="020B0604020202020204" pitchFamily="34" charset="0"/>
              <a:cs typeface="Arial" panose="020B0604020202020204" pitchFamily="34" charset="0"/>
            </a:defRPr>
          </a:pPr>
          <a:endParaRPr lang="fr-FR"/>
        </a:p>
      </c:txPr>
    </c:legend>
    <c:plotVisOnly val="1"/>
    <c:dispBlanksAs val="gap"/>
    <c:showDLblsOverMax val="0"/>
  </c:chart>
  <c:printSettings>
    <c:headerFooter/>
    <c:pageMargins b="0.75" l="0.7" r="0.7" t="0.75" header="0.3" footer="0.3"/>
    <c:pageSetup paperSize="9" orientation="landscape"/>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en-US" sz="1100" b="1" i="0" u="none" strike="noStrike" kern="1200" spc="0" baseline="0">
                <a:solidFill>
                  <a:sysClr val="windowText" lastClr="000000"/>
                </a:solidFill>
                <a:effectLst/>
                <a:latin typeface="Arial" panose="020B0604020202020204" pitchFamily="34" charset="0"/>
                <a:ea typeface="+mn-ea"/>
                <a:cs typeface="Arial" panose="020B0604020202020204" pitchFamily="34" charset="0"/>
              </a:defRPr>
            </a:pPr>
            <a:r>
              <a:rPr lang="en-US" sz="1100" b="1" i="0" u="none" strike="noStrike" kern="1200" baseline="0">
                <a:solidFill>
                  <a:sysClr val="windowText" lastClr="000000"/>
                </a:solidFill>
                <a:effectLst/>
                <a:latin typeface="Arial" panose="020B0604020202020204" pitchFamily="34" charset="0"/>
                <a:ea typeface="+mn-ea"/>
                <a:cs typeface="Arial" panose="020B0604020202020204" pitchFamily="34" charset="0"/>
              </a:rPr>
              <a:t>Origine géographie des doctorants Cifre acceptées en 2019</a:t>
            </a:r>
          </a:p>
        </c:rich>
      </c:tx>
      <c:overlay val="0"/>
      <c:spPr>
        <a:noFill/>
        <a:ln>
          <a:noFill/>
        </a:ln>
        <a:effectLst/>
      </c:spPr>
    </c:title>
    <c:autoTitleDeleted val="0"/>
    <c:plotArea>
      <c:layout>
        <c:manualLayout>
          <c:layoutTarget val="inner"/>
          <c:xMode val="edge"/>
          <c:yMode val="edge"/>
          <c:x val="0.24220184874609274"/>
          <c:y val="0.16048255181822588"/>
          <c:w val="0.4174980622357693"/>
          <c:h val="0.73365106406554059"/>
        </c:manualLayout>
      </c:layout>
      <c:pieChart>
        <c:varyColors val="1"/>
        <c:ser>
          <c:idx val="0"/>
          <c:order val="0"/>
          <c:tx>
            <c:strRef>
              <c:f>'Origine geo'!$N$2:$O$2</c:f>
              <c:strCache>
                <c:ptCount val="1"/>
                <c:pt idx="0">
                  <c:v>2019</c:v>
                </c:pt>
              </c:strCache>
            </c:strRef>
          </c:tx>
          <c:dPt>
            <c:idx val="0"/>
            <c:bubble3D val="0"/>
            <c:spPr>
              <a:solidFill>
                <a:schemeClr val="accent1"/>
              </a:solidFill>
              <a:ln w="19050">
                <a:solidFill>
                  <a:schemeClr val="lt1"/>
                </a:solidFill>
              </a:ln>
              <a:effectLst/>
            </c:spPr>
            <c:extLst xmlns:c16r2="http://schemas.microsoft.com/office/drawing/2015/06/chart">
              <c:ext xmlns:c16="http://schemas.microsoft.com/office/drawing/2014/chart" uri="{C3380CC4-5D6E-409C-BE32-E72D297353CC}">
                <c16:uniqueId val="{00000001-23A8-49A3-BDB9-B155C53DF5C6}"/>
              </c:ext>
            </c:extLst>
          </c:dPt>
          <c:dPt>
            <c:idx val="1"/>
            <c:bubble3D val="0"/>
            <c:spPr>
              <a:solidFill>
                <a:schemeClr val="accent2"/>
              </a:solidFill>
              <a:ln w="19050">
                <a:solidFill>
                  <a:schemeClr val="lt1"/>
                </a:solidFill>
              </a:ln>
              <a:effectLst/>
            </c:spPr>
            <c:extLst xmlns:c16r2="http://schemas.microsoft.com/office/drawing/2015/06/chart">
              <c:ext xmlns:c16="http://schemas.microsoft.com/office/drawing/2014/chart" uri="{C3380CC4-5D6E-409C-BE32-E72D297353CC}">
                <c16:uniqueId val="{00000003-23A8-49A3-BDB9-B155C53DF5C6}"/>
              </c:ext>
            </c:extLst>
          </c:dPt>
          <c:dPt>
            <c:idx val="2"/>
            <c:bubble3D val="0"/>
            <c:spPr>
              <a:solidFill>
                <a:schemeClr val="accent3"/>
              </a:solidFill>
              <a:ln w="19050">
                <a:solidFill>
                  <a:schemeClr val="lt1"/>
                </a:solidFill>
              </a:ln>
              <a:effectLst/>
            </c:spPr>
            <c:extLst xmlns:c16r2="http://schemas.microsoft.com/office/drawing/2015/06/chart">
              <c:ext xmlns:c16="http://schemas.microsoft.com/office/drawing/2014/chart" uri="{C3380CC4-5D6E-409C-BE32-E72D297353CC}">
                <c16:uniqueId val="{00000005-23A8-49A3-BDB9-B155C53DF5C6}"/>
              </c:ext>
            </c:extLst>
          </c:dPt>
          <c:dPt>
            <c:idx val="3"/>
            <c:bubble3D val="0"/>
            <c:spPr>
              <a:solidFill>
                <a:schemeClr val="accent4"/>
              </a:solidFill>
              <a:ln w="19050">
                <a:solidFill>
                  <a:schemeClr val="lt1"/>
                </a:solidFill>
              </a:ln>
              <a:effectLst/>
            </c:spPr>
            <c:extLst xmlns:c16r2="http://schemas.microsoft.com/office/drawing/2015/06/chart">
              <c:ext xmlns:c16="http://schemas.microsoft.com/office/drawing/2014/chart" uri="{C3380CC4-5D6E-409C-BE32-E72D297353CC}">
                <c16:uniqueId val="{00000007-23A8-49A3-BDB9-B155C53DF5C6}"/>
              </c:ext>
            </c:extLst>
          </c:dPt>
          <c:dPt>
            <c:idx val="4"/>
            <c:bubble3D val="0"/>
            <c:spPr>
              <a:solidFill>
                <a:schemeClr val="accent5"/>
              </a:solidFill>
              <a:ln w="19050">
                <a:solidFill>
                  <a:schemeClr val="lt1"/>
                </a:solidFill>
              </a:ln>
              <a:effectLst/>
            </c:spPr>
            <c:extLst xmlns:c16r2="http://schemas.microsoft.com/office/drawing/2015/06/chart">
              <c:ext xmlns:c16="http://schemas.microsoft.com/office/drawing/2014/chart" uri="{C3380CC4-5D6E-409C-BE32-E72D297353CC}">
                <c16:uniqueId val="{00000001-B710-4C08-8E26-1E293A4F1AEB}"/>
              </c:ext>
            </c:extLst>
          </c:dPt>
          <c:dPt>
            <c:idx val="5"/>
            <c:bubble3D val="0"/>
            <c:spPr>
              <a:solidFill>
                <a:schemeClr val="accent6"/>
              </a:solidFill>
              <a:ln w="19050">
                <a:solidFill>
                  <a:schemeClr val="lt1"/>
                </a:solidFill>
              </a:ln>
              <a:effectLst/>
            </c:spPr>
            <c:extLst xmlns:c16r2="http://schemas.microsoft.com/office/drawing/2015/06/chart">
              <c:ext xmlns:c16="http://schemas.microsoft.com/office/drawing/2014/chart" uri="{C3380CC4-5D6E-409C-BE32-E72D297353CC}">
                <c16:uniqueId val="{0000000B-23A8-49A3-BDB9-B155C53DF5C6}"/>
              </c:ext>
            </c:extLst>
          </c:dPt>
          <c:dPt>
            <c:idx val="6"/>
            <c:bubble3D val="0"/>
            <c:spPr>
              <a:solidFill>
                <a:schemeClr val="accent1">
                  <a:lumMod val="60000"/>
                </a:schemeClr>
              </a:solidFill>
              <a:ln w="19050">
                <a:solidFill>
                  <a:schemeClr val="lt1"/>
                </a:solidFill>
              </a:ln>
              <a:effectLst/>
            </c:spPr>
            <c:extLst xmlns:c16r2="http://schemas.microsoft.com/office/drawing/2015/06/chart">
              <c:ext xmlns:c16="http://schemas.microsoft.com/office/drawing/2014/chart" uri="{C3380CC4-5D6E-409C-BE32-E72D297353CC}">
                <c16:uniqueId val="{0000000D-23A8-49A3-BDB9-B155C53DF5C6}"/>
              </c:ext>
            </c:extLst>
          </c:dPt>
          <c:dPt>
            <c:idx val="7"/>
            <c:bubble3D val="0"/>
            <c:spPr>
              <a:solidFill>
                <a:schemeClr val="accent2">
                  <a:lumMod val="60000"/>
                </a:schemeClr>
              </a:solidFill>
              <a:ln w="19050">
                <a:solidFill>
                  <a:schemeClr val="lt1"/>
                </a:solidFill>
              </a:ln>
              <a:effectLst/>
            </c:spPr>
            <c:extLst xmlns:c16r2="http://schemas.microsoft.com/office/drawing/2015/06/chart">
              <c:ext xmlns:c16="http://schemas.microsoft.com/office/drawing/2014/chart" uri="{C3380CC4-5D6E-409C-BE32-E72D297353CC}">
                <c16:uniqueId val="{0000000F-23A8-49A3-BDB9-B155C53DF5C6}"/>
              </c:ext>
            </c:extLst>
          </c:dPt>
          <c:dPt>
            <c:idx val="8"/>
            <c:bubble3D val="0"/>
            <c:spPr>
              <a:solidFill>
                <a:schemeClr val="accent3">
                  <a:lumMod val="60000"/>
                </a:schemeClr>
              </a:solidFill>
              <a:ln w="19050">
                <a:solidFill>
                  <a:schemeClr val="lt1"/>
                </a:solidFill>
              </a:ln>
              <a:effectLst/>
            </c:spPr>
            <c:extLst xmlns:c16r2="http://schemas.microsoft.com/office/drawing/2015/06/chart">
              <c:ext xmlns:c16="http://schemas.microsoft.com/office/drawing/2014/chart" uri="{C3380CC4-5D6E-409C-BE32-E72D297353CC}">
                <c16:uniqueId val="{00000011-23A8-49A3-BDB9-B155C53DF5C6}"/>
              </c:ext>
            </c:extLst>
          </c:dPt>
          <c:dPt>
            <c:idx val="9"/>
            <c:bubble3D val="0"/>
            <c:spPr>
              <a:solidFill>
                <a:schemeClr val="accent4">
                  <a:lumMod val="60000"/>
                </a:schemeClr>
              </a:solidFill>
              <a:ln w="19050">
                <a:solidFill>
                  <a:schemeClr val="lt1"/>
                </a:solidFill>
              </a:ln>
              <a:effectLst/>
            </c:spPr>
            <c:extLst xmlns:c16r2="http://schemas.microsoft.com/office/drawing/2015/06/chart">
              <c:ext xmlns:c16="http://schemas.microsoft.com/office/drawing/2014/chart" uri="{C3380CC4-5D6E-409C-BE32-E72D297353CC}">
                <c16:uniqueId val="{00000013-23A8-49A3-BDB9-B155C53DF5C6}"/>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15:layout/>
              </c:ext>
            </c:extLst>
          </c:dLbls>
          <c:cat>
            <c:strRef>
              <c:f>'Origine geo'!$A$4:$A$13</c:f>
              <c:strCache>
                <c:ptCount val="10"/>
                <c:pt idx="0">
                  <c:v>Afrique sub-saharienne</c:v>
                </c:pt>
                <c:pt idx="1">
                  <c:v>Amérique du nord</c:v>
                </c:pt>
                <c:pt idx="2">
                  <c:v>Amerique latine</c:v>
                </c:pt>
                <c:pt idx="3">
                  <c:v>Asie</c:v>
                </c:pt>
                <c:pt idx="4">
                  <c:v>France</c:v>
                </c:pt>
                <c:pt idx="5">
                  <c:v>Reste union Européenne</c:v>
                </c:pt>
                <c:pt idx="6">
                  <c:v>Europe hors UE</c:v>
                </c:pt>
                <c:pt idx="7">
                  <c:v>Maghreb</c:v>
                </c:pt>
                <c:pt idx="8">
                  <c:v>Moyen-Orient</c:v>
                </c:pt>
                <c:pt idx="9">
                  <c:v>Océanie</c:v>
                </c:pt>
              </c:strCache>
            </c:strRef>
          </c:cat>
          <c:val>
            <c:numRef>
              <c:f>'Origine geo'!$O$4:$O$13</c:f>
              <c:numCache>
                <c:formatCode>0%</c:formatCode>
                <c:ptCount val="10"/>
                <c:pt idx="0">
                  <c:v>2.2068965517241378E-2</c:v>
                </c:pt>
                <c:pt idx="1">
                  <c:v>3.4482758620689655E-3</c:v>
                </c:pt>
                <c:pt idx="2">
                  <c:v>3.793103448275862E-2</c:v>
                </c:pt>
                <c:pt idx="3">
                  <c:v>3.7241379310344824E-2</c:v>
                </c:pt>
                <c:pt idx="4">
                  <c:v>0.75586206896551722</c:v>
                </c:pt>
                <c:pt idx="5">
                  <c:v>3.5862068965517239E-2</c:v>
                </c:pt>
                <c:pt idx="6">
                  <c:v>9.655172413793104E-3</c:v>
                </c:pt>
                <c:pt idx="7">
                  <c:v>7.0344827586206901E-2</c:v>
                </c:pt>
                <c:pt idx="8">
                  <c:v>2.7586206896551724E-2</c:v>
                </c:pt>
                <c:pt idx="9">
                  <c:v>0</c:v>
                </c:pt>
              </c:numCache>
            </c:numRef>
          </c:val>
          <c:extLst xmlns:c16r2="http://schemas.microsoft.com/office/drawing/2015/06/chart">
            <c:ext xmlns:c16="http://schemas.microsoft.com/office/drawing/2014/chart" uri="{C3380CC4-5D6E-409C-BE32-E72D297353CC}">
              <c16:uniqueId val="{00000000-B710-4C08-8E26-1E293A4F1AEB}"/>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manualLayout>
          <c:xMode val="edge"/>
          <c:yMode val="edge"/>
          <c:x val="0.68152184819554262"/>
          <c:y val="0.15840114577380224"/>
          <c:w val="0.31673743526742648"/>
          <c:h val="0.58080921431661947"/>
        </c:manualLayout>
      </c:layout>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extLst xmlns:c16r2="http://schemas.microsoft.com/office/drawing/2015/06/char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0</xdr:colOff>
      <xdr:row>25</xdr:row>
      <xdr:rowOff>113842</xdr:rowOff>
    </xdr:from>
    <xdr:to>
      <xdr:col>10</xdr:col>
      <xdr:colOff>200024</xdr:colOff>
      <xdr:row>47</xdr:row>
      <xdr:rowOff>25978</xdr:rowOff>
    </xdr:to>
    <xdr:graphicFrame macro="">
      <xdr:nvGraphicFramePr>
        <xdr:cNvPr id="1312770" name="Graphique 30">
          <a:extLst>
            <a:ext uri="{FF2B5EF4-FFF2-40B4-BE49-F238E27FC236}">
              <a16:creationId xmlns="" xmlns:a16="http://schemas.microsoft.com/office/drawing/2014/main" id="{00000000-0008-0000-0100-0000020814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19</xdr:row>
      <xdr:rowOff>91336</xdr:rowOff>
    </xdr:from>
    <xdr:to>
      <xdr:col>6</xdr:col>
      <xdr:colOff>752475</xdr:colOff>
      <xdr:row>38</xdr:row>
      <xdr:rowOff>38100</xdr:rowOff>
    </xdr:to>
    <xdr:graphicFrame macro="">
      <xdr:nvGraphicFramePr>
        <xdr:cNvPr id="3" name="Graphique 2">
          <a:extLst>
            <a:ext uri="{FF2B5EF4-FFF2-40B4-BE49-F238E27FC236}">
              <a16:creationId xmlns="" xmlns:a16="http://schemas.microsoft.com/office/drawing/2014/main" id="{00000000-0008-0000-06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0.71901</cdr:x>
      <cdr:y>0.93787</cdr:y>
    </cdr:from>
    <cdr:to>
      <cdr:x>1</cdr:x>
      <cdr:y>1</cdr:y>
    </cdr:to>
    <cdr:sp macro="" textlink="">
      <cdr:nvSpPr>
        <cdr:cNvPr id="2" name="ZoneTexte 1"/>
        <cdr:cNvSpPr txBox="1"/>
      </cdr:nvSpPr>
      <cdr:spPr>
        <a:xfrm xmlns:a="http://schemas.openxmlformats.org/drawingml/2006/main">
          <a:off x="4972051" y="3594839"/>
          <a:ext cx="1943099" cy="2381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algn="r" defTabSz="914400" rtl="0" eaLnBrk="1" fontAlgn="auto" latinLnBrk="0" hangingPunct="1">
            <a:lnSpc>
              <a:spcPct val="100000"/>
            </a:lnSpc>
            <a:spcBef>
              <a:spcPts val="0"/>
            </a:spcBef>
            <a:spcAft>
              <a:spcPts val="0"/>
            </a:spcAft>
            <a:buClrTx/>
            <a:buSzTx/>
            <a:buFontTx/>
            <a:buNone/>
            <a:tabLst/>
            <a:defRPr/>
          </a:pPr>
          <a:r>
            <a:rPr lang="fr-FR" sz="800" b="0" i="1" baseline="0">
              <a:effectLst/>
              <a:latin typeface="Arial" panose="020B0604020202020204" pitchFamily="34" charset="0"/>
              <a:ea typeface="+mn-ea"/>
              <a:cs typeface="Arial" panose="020B0604020202020204" pitchFamily="34" charset="0"/>
            </a:rPr>
            <a:t>Source : ANRT et MESRI-DGRI C2.</a:t>
          </a:r>
          <a:endParaRPr lang="fr-FR" sz="800" i="1">
            <a:effectLst/>
            <a:latin typeface="Arial" panose="020B0604020202020204" pitchFamily="34" charset="0"/>
            <a:cs typeface="Arial" panose="020B0604020202020204" pitchFamily="34" charset="0"/>
          </a:endParaRPr>
        </a:p>
        <a:p xmlns:a="http://schemas.openxmlformats.org/drawingml/2006/main">
          <a:endParaRPr lang="fr-FR" sz="800" i="1">
            <a:latin typeface="Arial" panose="020B0604020202020204" pitchFamily="34" charset="0"/>
            <a:cs typeface="Arial" panose="020B0604020202020204" pitchFamily="34" charset="0"/>
          </a:endParaRP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285749</xdr:colOff>
      <xdr:row>16</xdr:row>
      <xdr:rowOff>95250</xdr:rowOff>
    </xdr:from>
    <xdr:to>
      <xdr:col>11</xdr:col>
      <xdr:colOff>314325</xdr:colOff>
      <xdr:row>38</xdr:row>
      <xdr:rowOff>142875</xdr:rowOff>
    </xdr:to>
    <xdr:graphicFrame macro="">
      <xdr:nvGraphicFramePr>
        <xdr:cNvPr id="3" name="Graphique 2">
          <a:extLst>
            <a:ext uri="{FF2B5EF4-FFF2-40B4-BE49-F238E27FC236}">
              <a16:creationId xmlns="" xmlns:a16="http://schemas.microsoft.com/office/drawing/2014/main" id="{66ECE206-0D12-417E-A6B7-A80E9FDBBE3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80434</xdr:colOff>
      <xdr:row>10</xdr:row>
      <xdr:rowOff>130175</xdr:rowOff>
    </xdr:from>
    <xdr:to>
      <xdr:col>6</xdr:col>
      <xdr:colOff>289984</xdr:colOff>
      <xdr:row>32</xdr:row>
      <xdr:rowOff>101600</xdr:rowOff>
    </xdr:to>
    <xdr:graphicFrame macro="">
      <xdr:nvGraphicFramePr>
        <xdr:cNvPr id="2" name="Graphique 1">
          <a:extLst>
            <a:ext uri="{FF2B5EF4-FFF2-40B4-BE49-F238E27FC236}">
              <a16:creationId xmlns="" xmlns:a16="http://schemas.microsoft.com/office/drawing/2014/main" id="{408C0D87-5ED7-4FF1-A1BE-7E096489DB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361950</xdr:colOff>
      <xdr:row>19</xdr:row>
      <xdr:rowOff>9525</xdr:rowOff>
    </xdr:from>
    <xdr:to>
      <xdr:col>15</xdr:col>
      <xdr:colOff>552450</xdr:colOff>
      <xdr:row>42</xdr:row>
      <xdr:rowOff>9525</xdr:rowOff>
    </xdr:to>
    <xdr:graphicFrame macro="">
      <xdr:nvGraphicFramePr>
        <xdr:cNvPr id="3" name="Graphique 2">
          <a:extLst>
            <a:ext uri="{FF2B5EF4-FFF2-40B4-BE49-F238E27FC236}">
              <a16:creationId xmlns="" xmlns:a16="http://schemas.microsoft.com/office/drawing/2014/main" id="{E18C9696-CE9B-4ACE-B83E-D49B27C4E74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xdr:col>
      <xdr:colOff>384174</xdr:colOff>
      <xdr:row>0</xdr:row>
      <xdr:rowOff>82550</xdr:rowOff>
    </xdr:from>
    <xdr:to>
      <xdr:col>26</xdr:col>
      <xdr:colOff>259291</xdr:colOff>
      <xdr:row>14</xdr:row>
      <xdr:rowOff>78317</xdr:rowOff>
    </xdr:to>
    <xdr:graphicFrame macro="">
      <xdr:nvGraphicFramePr>
        <xdr:cNvPr id="4" name="Graphique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0.69458</cdr:x>
      <cdr:y>0.1513</cdr:y>
    </cdr:from>
    <cdr:to>
      <cdr:x>0.99317</cdr:x>
      <cdr:y>0.35857</cdr:y>
    </cdr:to>
    <cdr:sp macro="" textlink="">
      <cdr:nvSpPr>
        <cdr:cNvPr id="2" name="ZoneTexte 1"/>
        <cdr:cNvSpPr txBox="1"/>
      </cdr:nvSpPr>
      <cdr:spPr>
        <a:xfrm xmlns:a="http://schemas.openxmlformats.org/drawingml/2006/main">
          <a:off x="3733787" y="380987"/>
          <a:ext cx="1276363" cy="53341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fr-FR" sz="1100" i="1"/>
            <a:t>Moyenne : 30 232€</a:t>
          </a:r>
        </a:p>
        <a:p xmlns:a="http://schemas.openxmlformats.org/drawingml/2006/main">
          <a:r>
            <a:rPr lang="fr-FR" sz="1100" i="1"/>
            <a:t>Max :  58 500€</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109194</xdr:colOff>
      <xdr:row>12</xdr:row>
      <xdr:rowOff>162265</xdr:rowOff>
    </xdr:from>
    <xdr:to>
      <xdr:col>5</xdr:col>
      <xdr:colOff>464344</xdr:colOff>
      <xdr:row>40</xdr:row>
      <xdr:rowOff>23813</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0.28529</cdr:x>
      <cdr:y>0.00465</cdr:y>
    </cdr:from>
    <cdr:to>
      <cdr:x>0.8003</cdr:x>
      <cdr:y>0.04469</cdr:y>
    </cdr:to>
    <cdr:sp macro="" textlink="">
      <cdr:nvSpPr>
        <cdr:cNvPr id="2" name="ZoneTexte 1">
          <a:extLst xmlns:a="http://schemas.openxmlformats.org/drawingml/2006/main">
            <a:ext uri="{FF2B5EF4-FFF2-40B4-BE49-F238E27FC236}">
              <a16:creationId xmlns="" xmlns:a16="http://schemas.microsoft.com/office/drawing/2014/main" id="{B76B05C4-71B9-4FC1-B38F-6945B1C310A1}"/>
            </a:ext>
          </a:extLst>
        </cdr:cNvPr>
        <cdr:cNvSpPr txBox="1"/>
      </cdr:nvSpPr>
      <cdr:spPr>
        <a:xfrm xmlns:a="http://schemas.openxmlformats.org/drawingml/2006/main">
          <a:off x="1854050" y="21050"/>
          <a:ext cx="3346934" cy="181333"/>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100" b="1">
              <a:latin typeface="Arial" panose="020B0604020202020204" pitchFamily="34" charset="0"/>
              <a:cs typeface="Arial" panose="020B0604020202020204" pitchFamily="34" charset="0"/>
            </a:rPr>
            <a:t>09 : Publications valorisant en 5 ans des Cifre terminées en 2011</a:t>
          </a:r>
          <a:r>
            <a:rPr lang="fr-FR" sz="1100" b="1" baseline="0">
              <a:latin typeface="Arial" panose="020B0604020202020204" pitchFamily="34" charset="0"/>
              <a:cs typeface="Arial" panose="020B0604020202020204" pitchFamily="34" charset="0"/>
            </a:rPr>
            <a:t> </a:t>
          </a:r>
          <a:r>
            <a:rPr lang="fr-FR" sz="1100" b="1">
              <a:latin typeface="Arial" panose="020B0604020202020204" pitchFamily="34" charset="0"/>
              <a:cs typeface="Arial" panose="020B0604020202020204" pitchFamily="34" charset="0"/>
            </a:rPr>
            <a:t>et 2013 </a:t>
          </a:r>
        </a:p>
      </cdr:txBody>
    </cdr:sp>
  </cdr:relSizeAnchor>
  <cdr:relSizeAnchor xmlns:cdr="http://schemas.openxmlformats.org/drawingml/2006/chartDrawing">
    <cdr:from>
      <cdr:x>0.64718</cdr:x>
      <cdr:y>0.94804</cdr:y>
    </cdr:from>
    <cdr:to>
      <cdr:x>0.99792</cdr:x>
      <cdr:y>0.9911</cdr:y>
    </cdr:to>
    <cdr:sp macro="" textlink="">
      <cdr:nvSpPr>
        <cdr:cNvPr id="3" name="ZoneTexte 2"/>
        <cdr:cNvSpPr txBox="1"/>
      </cdr:nvSpPr>
      <cdr:spPr>
        <a:xfrm xmlns:a="http://schemas.openxmlformats.org/drawingml/2006/main">
          <a:off x="3712711" y="5505110"/>
          <a:ext cx="2012157" cy="2500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fr-FR" sz="1100" i="1"/>
            <a:t>Source : ANRT et MESRI-DGRI C2.</a:t>
          </a:r>
        </a:p>
      </cdr:txBody>
    </cdr:sp>
  </cdr:relSizeAnchor>
</c:userShapes>
</file>

<file path=xl/drawings/drawing2.xml><?xml version="1.0" encoding="utf-8"?>
<c:userShapes xmlns:c="http://schemas.openxmlformats.org/drawingml/2006/chart">
  <cdr:relSizeAnchor xmlns:cdr="http://schemas.openxmlformats.org/drawingml/2006/chartDrawing">
    <cdr:from>
      <cdr:x>0.64125</cdr:x>
      <cdr:y>0.96086</cdr:y>
    </cdr:from>
    <cdr:to>
      <cdr:x>0.99046</cdr:x>
      <cdr:y>0.99327</cdr:y>
    </cdr:to>
    <cdr:sp macro="" textlink="">
      <cdr:nvSpPr>
        <cdr:cNvPr id="531457" name="Text Box 1"/>
        <cdr:cNvSpPr txBox="1">
          <a:spLocks xmlns:a="http://schemas.openxmlformats.org/drawingml/2006/main" noChangeArrowheads="1"/>
        </cdr:cNvSpPr>
      </cdr:nvSpPr>
      <cdr:spPr bwMode="auto">
        <a:xfrm xmlns:a="http://schemas.openxmlformats.org/drawingml/2006/main">
          <a:off x="4480634" y="4677234"/>
          <a:ext cx="2440058" cy="1577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r" rtl="0">
            <a:defRPr sz="1000"/>
          </a:pPr>
          <a:r>
            <a:rPr lang="fr-FR" sz="800" b="0" i="1" u="none" strike="noStrike" baseline="0">
              <a:solidFill>
                <a:srgbClr val="000000"/>
              </a:solidFill>
              <a:latin typeface="Arial"/>
              <a:cs typeface="Arial"/>
            </a:rPr>
            <a:t>Source : ANRT et MESRI-DGRI C2.</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0</xdr:row>
      <xdr:rowOff>29190</xdr:rowOff>
    </xdr:from>
    <xdr:to>
      <xdr:col>11</xdr:col>
      <xdr:colOff>328084</xdr:colOff>
      <xdr:row>25</xdr:row>
      <xdr:rowOff>95250</xdr:rowOff>
    </xdr:to>
    <xdr:graphicFrame macro="">
      <xdr:nvGraphicFramePr>
        <xdr:cNvPr id="3" name="Graphique 2">
          <a:extLst>
            <a:ext uri="{FF2B5EF4-FFF2-40B4-BE49-F238E27FC236}">
              <a16:creationId xmlns=""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0.08697</cdr:x>
      <cdr:y>0.81953</cdr:y>
    </cdr:from>
    <cdr:to>
      <cdr:x>0.24279</cdr:x>
      <cdr:y>1</cdr:y>
    </cdr:to>
    <cdr:sp macro="" textlink="">
      <cdr:nvSpPr>
        <cdr:cNvPr id="4" name="ZoneTexte 3"/>
        <cdr:cNvSpPr txBox="1"/>
      </cdr:nvSpPr>
      <cdr:spPr>
        <a:xfrm xmlns:a="http://schemas.openxmlformats.org/drawingml/2006/main">
          <a:off x="510323" y="4745216"/>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0.64696</cdr:x>
      <cdr:y>0.94938</cdr:y>
    </cdr:from>
    <cdr:to>
      <cdr:x>1</cdr:x>
      <cdr:y>1</cdr:y>
    </cdr:to>
    <cdr:sp macro="" textlink="">
      <cdr:nvSpPr>
        <cdr:cNvPr id="5" name="ZoneTexte 4"/>
        <cdr:cNvSpPr txBox="1"/>
      </cdr:nvSpPr>
      <cdr:spPr>
        <a:xfrm xmlns:a="http://schemas.openxmlformats.org/drawingml/2006/main">
          <a:off x="3806943" y="4534436"/>
          <a:ext cx="2077417" cy="24178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algn="r" defTabSz="914400" rtl="0" eaLnBrk="1" fontAlgn="auto" latinLnBrk="0" hangingPunct="1">
            <a:lnSpc>
              <a:spcPct val="100000"/>
            </a:lnSpc>
            <a:spcBef>
              <a:spcPts val="0"/>
            </a:spcBef>
            <a:spcAft>
              <a:spcPts val="0"/>
            </a:spcAft>
            <a:buClrTx/>
            <a:buSzTx/>
            <a:buFontTx/>
            <a:buNone/>
            <a:tabLst/>
            <a:defRPr/>
          </a:pPr>
          <a:r>
            <a:rPr lang="fr-FR" sz="800" b="0" i="1" baseline="0">
              <a:effectLst/>
              <a:latin typeface="Arial" panose="020B0604020202020204" pitchFamily="34" charset="0"/>
              <a:ea typeface="+mn-ea"/>
              <a:cs typeface="Arial" panose="020B0604020202020204" pitchFamily="34" charset="0"/>
            </a:rPr>
            <a:t>Source : ANRT et MESRI-DGRI C2.</a:t>
          </a:r>
          <a:endParaRPr lang="fr-FR" sz="800" i="1">
            <a:effectLst/>
            <a:latin typeface="Arial" panose="020B0604020202020204" pitchFamily="34" charset="0"/>
            <a:cs typeface="Arial" panose="020B0604020202020204" pitchFamily="34" charset="0"/>
          </a:endParaRPr>
        </a:p>
        <a:p xmlns:a="http://schemas.openxmlformats.org/drawingml/2006/main">
          <a:endParaRPr lang="fr-FR" sz="1100"/>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aphicFrame macro="">
      <xdr:nvGraphicFramePr>
        <xdr:cNvPr id="155209" name="Graphique 1">
          <a:extLst>
            <a:ext uri="{FF2B5EF4-FFF2-40B4-BE49-F238E27FC236}">
              <a16:creationId xmlns="" xmlns:a16="http://schemas.microsoft.com/office/drawing/2014/main" id="{00000000-0008-0000-0300-0000495E02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52919</xdr:colOff>
      <xdr:row>21</xdr:row>
      <xdr:rowOff>84666</xdr:rowOff>
    </xdr:from>
    <xdr:to>
      <xdr:col>7</xdr:col>
      <xdr:colOff>495301</xdr:colOff>
      <xdr:row>44</xdr:row>
      <xdr:rowOff>21167</xdr:rowOff>
    </xdr:to>
    <xdr:graphicFrame macro="">
      <xdr:nvGraphicFramePr>
        <xdr:cNvPr id="15" name="Graphique 1">
          <a:extLst>
            <a:ext uri="{FF2B5EF4-FFF2-40B4-BE49-F238E27FC236}">
              <a16:creationId xmlns="" xmlns:a16="http://schemas.microsoft.com/office/drawing/2014/main" id="{00000000-0008-0000-03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390525</xdr:colOff>
      <xdr:row>11</xdr:row>
      <xdr:rowOff>142875</xdr:rowOff>
    </xdr:from>
    <xdr:to>
      <xdr:col>15</xdr:col>
      <xdr:colOff>718607</xdr:colOff>
      <xdr:row>31</xdr:row>
      <xdr:rowOff>41276</xdr:rowOff>
    </xdr:to>
    <xdr:graphicFrame macro="">
      <xdr:nvGraphicFramePr>
        <xdr:cNvPr id="4" name="Graphique 1">
          <a:extLst>
            <a:ext uri="{FF2B5EF4-FFF2-40B4-BE49-F238E27FC236}">
              <a16:creationId xmlns="" xmlns:a16="http://schemas.microsoft.com/office/drawing/2014/main" id="{00000000-0008-0000-03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0.356</cdr:x>
      <cdr:y>0.03686</cdr:y>
    </cdr:from>
    <cdr:to>
      <cdr:x>0.60518</cdr:x>
      <cdr:y>0.08958</cdr:y>
    </cdr:to>
    <cdr:sp macro="" textlink="">
      <cdr:nvSpPr>
        <cdr:cNvPr id="2" name="ZoneTexte 1"/>
        <cdr:cNvSpPr txBox="1"/>
      </cdr:nvSpPr>
      <cdr:spPr>
        <a:xfrm xmlns:a="http://schemas.openxmlformats.org/drawingml/2006/main">
          <a:off x="2065020" y="182880"/>
          <a:ext cx="1463040" cy="25908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fr-FR"/>
        </a:p>
      </cdr:txBody>
    </cdr:sp>
  </cdr:relSizeAnchor>
  <cdr:relSizeAnchor xmlns:cdr="http://schemas.openxmlformats.org/drawingml/2006/chartDrawing">
    <cdr:from>
      <cdr:x>0.19768</cdr:x>
      <cdr:y>0.01398</cdr:y>
    </cdr:from>
    <cdr:to>
      <cdr:x>0.82674</cdr:x>
      <cdr:y>0.10914</cdr:y>
    </cdr:to>
    <cdr:sp macro="" textlink="">
      <cdr:nvSpPr>
        <cdr:cNvPr id="3" name="ZoneTexte 2"/>
        <cdr:cNvSpPr txBox="1"/>
      </cdr:nvSpPr>
      <cdr:spPr>
        <a:xfrm xmlns:a="http://schemas.openxmlformats.org/drawingml/2006/main">
          <a:off x="1379454" y="50161"/>
          <a:ext cx="4389824" cy="3414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rtl="0"/>
          <a:r>
            <a:rPr lang="fr-FR" sz="1100" b="1" i="0" baseline="0">
              <a:latin typeface="Arial" panose="020B0604020202020204" pitchFamily="34" charset="0"/>
              <a:ea typeface="+mn-ea"/>
              <a:cs typeface="Arial" panose="020B0604020202020204" pitchFamily="34" charset="0"/>
            </a:rPr>
            <a:t>Nombre de Cifre selon le type d' employeur</a:t>
          </a:r>
          <a:endParaRPr lang="fr-FR" sz="11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0.65365</cdr:x>
      <cdr:y>0.92625</cdr:y>
    </cdr:from>
    <cdr:to>
      <cdr:x>1</cdr:x>
      <cdr:y>1</cdr:y>
    </cdr:to>
    <cdr:sp macro="" textlink="">
      <cdr:nvSpPr>
        <cdr:cNvPr id="4" name="ZoneTexte 3"/>
        <cdr:cNvSpPr txBox="1"/>
      </cdr:nvSpPr>
      <cdr:spPr>
        <a:xfrm xmlns:a="http://schemas.openxmlformats.org/drawingml/2006/main">
          <a:off x="4561416" y="3323166"/>
          <a:ext cx="2416970" cy="26458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algn="r" defTabSz="914400" rtl="0" eaLnBrk="1" fontAlgn="auto" latinLnBrk="0" hangingPunct="1">
            <a:lnSpc>
              <a:spcPct val="100000"/>
            </a:lnSpc>
            <a:spcBef>
              <a:spcPts val="0"/>
            </a:spcBef>
            <a:spcAft>
              <a:spcPts val="0"/>
            </a:spcAft>
            <a:buClrTx/>
            <a:buSzTx/>
            <a:buFontTx/>
            <a:buNone/>
            <a:tabLst/>
            <a:defRPr/>
          </a:pPr>
          <a:r>
            <a:rPr lang="fr-FR" sz="800" b="0" i="1" baseline="0">
              <a:effectLst/>
              <a:latin typeface="Arial" panose="020B0604020202020204" pitchFamily="34" charset="0"/>
              <a:ea typeface="+mn-ea"/>
              <a:cs typeface="Arial" panose="020B0604020202020204" pitchFamily="34" charset="0"/>
            </a:rPr>
            <a:t>Source : ANRT et MESRI-DGRI C2.</a:t>
          </a:r>
          <a:endParaRPr lang="fr-FR" sz="800" i="1">
            <a:effectLst/>
            <a:latin typeface="Arial" panose="020B0604020202020204" pitchFamily="34" charset="0"/>
            <a:cs typeface="Arial" panose="020B0604020202020204" pitchFamily="34" charset="0"/>
          </a:endParaRPr>
        </a:p>
        <a:p xmlns:a="http://schemas.openxmlformats.org/drawingml/2006/main">
          <a:endParaRPr lang="fr-FR" sz="1100"/>
        </a:p>
      </cdr:txBody>
    </cdr:sp>
  </cdr:relSizeAnchor>
</c:userShapes>
</file>

<file path=xl/drawings/drawing7.xml><?xml version="1.0" encoding="utf-8"?>
<c:userShapes xmlns:c="http://schemas.openxmlformats.org/drawingml/2006/chart">
  <cdr:relSizeAnchor xmlns:cdr="http://schemas.openxmlformats.org/drawingml/2006/chartDrawing">
    <cdr:from>
      <cdr:x>0.356</cdr:x>
      <cdr:y>0.03686</cdr:y>
    </cdr:from>
    <cdr:to>
      <cdr:x>0.60518</cdr:x>
      <cdr:y>0.08958</cdr:y>
    </cdr:to>
    <cdr:sp macro="" textlink="">
      <cdr:nvSpPr>
        <cdr:cNvPr id="2" name="ZoneTexte 1"/>
        <cdr:cNvSpPr txBox="1"/>
      </cdr:nvSpPr>
      <cdr:spPr>
        <a:xfrm xmlns:a="http://schemas.openxmlformats.org/drawingml/2006/main">
          <a:off x="2065020" y="182880"/>
          <a:ext cx="1463040" cy="25908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fr-FR"/>
        </a:p>
      </cdr:txBody>
    </cdr:sp>
  </cdr:relSizeAnchor>
  <cdr:relSizeAnchor xmlns:cdr="http://schemas.openxmlformats.org/drawingml/2006/chartDrawing">
    <cdr:from>
      <cdr:x>0.19768</cdr:x>
      <cdr:y>0.01398</cdr:y>
    </cdr:from>
    <cdr:to>
      <cdr:x>0.82674</cdr:x>
      <cdr:y>0.10914</cdr:y>
    </cdr:to>
    <cdr:sp macro="" textlink="">
      <cdr:nvSpPr>
        <cdr:cNvPr id="3" name="ZoneTexte 2"/>
        <cdr:cNvSpPr txBox="1"/>
      </cdr:nvSpPr>
      <cdr:spPr>
        <a:xfrm xmlns:a="http://schemas.openxmlformats.org/drawingml/2006/main">
          <a:off x="1379454" y="50161"/>
          <a:ext cx="4389824" cy="3414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rtl="0"/>
          <a:r>
            <a:rPr lang="fr-FR" sz="1100" b="1" i="0" baseline="0">
              <a:latin typeface="Arial" panose="020B0604020202020204" pitchFamily="34" charset="0"/>
              <a:ea typeface="+mn-ea"/>
              <a:cs typeface="Arial" panose="020B0604020202020204" pitchFamily="34" charset="0"/>
            </a:rPr>
            <a:t>03 : Nombre de Cifre selon le type d' employeur</a:t>
          </a:r>
          <a:endParaRPr lang="fr-FR" sz="11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0.65365</cdr:x>
      <cdr:y>0.92625</cdr:y>
    </cdr:from>
    <cdr:to>
      <cdr:x>1</cdr:x>
      <cdr:y>1</cdr:y>
    </cdr:to>
    <cdr:sp macro="" textlink="">
      <cdr:nvSpPr>
        <cdr:cNvPr id="4" name="ZoneTexte 3"/>
        <cdr:cNvSpPr txBox="1"/>
      </cdr:nvSpPr>
      <cdr:spPr>
        <a:xfrm xmlns:a="http://schemas.openxmlformats.org/drawingml/2006/main">
          <a:off x="4561416" y="3323166"/>
          <a:ext cx="2416970" cy="26458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algn="r" defTabSz="914400" rtl="0" eaLnBrk="1" fontAlgn="auto" latinLnBrk="0" hangingPunct="1">
            <a:lnSpc>
              <a:spcPct val="100000"/>
            </a:lnSpc>
            <a:spcBef>
              <a:spcPts val="0"/>
            </a:spcBef>
            <a:spcAft>
              <a:spcPts val="0"/>
            </a:spcAft>
            <a:buClrTx/>
            <a:buSzTx/>
            <a:buFontTx/>
            <a:buNone/>
            <a:tabLst/>
            <a:defRPr/>
          </a:pPr>
          <a:r>
            <a:rPr lang="fr-FR" sz="800" b="0" i="1" baseline="0">
              <a:effectLst/>
              <a:latin typeface="Arial" panose="020B0604020202020204" pitchFamily="34" charset="0"/>
              <a:ea typeface="+mn-ea"/>
              <a:cs typeface="Arial" panose="020B0604020202020204" pitchFamily="34" charset="0"/>
            </a:rPr>
            <a:t>Source : ANRT et MESRI-DGRI C2.</a:t>
          </a:r>
          <a:endParaRPr lang="fr-FR" sz="800" i="1">
            <a:effectLst/>
            <a:latin typeface="Arial" panose="020B0604020202020204" pitchFamily="34" charset="0"/>
            <a:cs typeface="Arial" panose="020B0604020202020204" pitchFamily="34" charset="0"/>
          </a:endParaRPr>
        </a:p>
        <a:p xmlns:a="http://schemas.openxmlformats.org/drawingml/2006/main">
          <a:endParaRPr lang="fr-FR" sz="1100"/>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0</xdr:colOff>
      <xdr:row>2</xdr:row>
      <xdr:rowOff>0</xdr:rowOff>
    </xdr:to>
    <xdr:graphicFrame macro="">
      <xdr:nvGraphicFramePr>
        <xdr:cNvPr id="2" name="Graphique 1">
          <a:extLst>
            <a:ext uri="{FF2B5EF4-FFF2-40B4-BE49-F238E27FC236}">
              <a16:creationId xmlns=""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38100</xdr:colOff>
      <xdr:row>10</xdr:row>
      <xdr:rowOff>200026</xdr:rowOff>
    </xdr:from>
    <xdr:to>
      <xdr:col>17</xdr:col>
      <xdr:colOff>123825</xdr:colOff>
      <xdr:row>31</xdr:row>
      <xdr:rowOff>114300</xdr:rowOff>
    </xdr:to>
    <xdr:graphicFrame macro="">
      <xdr:nvGraphicFramePr>
        <xdr:cNvPr id="9" name="Graphique 1">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0.0751</cdr:x>
      <cdr:y>0.80216</cdr:y>
    </cdr:from>
    <cdr:to>
      <cdr:x>0.22507</cdr:x>
      <cdr:y>0.86217</cdr:y>
    </cdr:to>
    <cdr:sp macro="" textlink="">
      <cdr:nvSpPr>
        <cdr:cNvPr id="2" name="ZoneTexte 1"/>
        <cdr:cNvSpPr txBox="1"/>
      </cdr:nvSpPr>
      <cdr:spPr>
        <a:xfrm xmlns:a="http://schemas.openxmlformats.org/drawingml/2006/main">
          <a:off x="535838" y="3906507"/>
          <a:ext cx="1071675" cy="20829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fr-FR"/>
        </a:p>
      </cdr:txBody>
    </cdr:sp>
  </cdr:relSizeAnchor>
  <cdr:relSizeAnchor xmlns:cdr="http://schemas.openxmlformats.org/drawingml/2006/chartDrawing">
    <cdr:from>
      <cdr:x>0.09297</cdr:x>
      <cdr:y>0.84647</cdr:y>
    </cdr:from>
    <cdr:to>
      <cdr:x>0.20752</cdr:x>
      <cdr:y>0.94133</cdr:y>
    </cdr:to>
    <cdr:sp macro="" textlink="">
      <cdr:nvSpPr>
        <cdr:cNvPr id="4" name="ZoneTexte 3"/>
        <cdr:cNvSpPr txBox="1"/>
      </cdr:nvSpPr>
      <cdr:spPr>
        <a:xfrm xmlns:a="http://schemas.openxmlformats.org/drawingml/2006/main">
          <a:off x="723165" y="4350470"/>
          <a:ext cx="891056" cy="48753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fr-FR" sz="900">
              <a:latin typeface="Arial" panose="020B0604020202020204" pitchFamily="34" charset="0"/>
              <a:cs typeface="Arial" panose="020B0604020202020204" pitchFamily="34" charset="0"/>
            </a:rPr>
            <a:t>PME &lt; </a:t>
          </a:r>
          <a:r>
            <a:rPr lang="fr-FR" sz="800">
              <a:latin typeface="Arial" panose="020B0604020202020204" pitchFamily="34" charset="0"/>
              <a:cs typeface="Arial" panose="020B0604020202020204" pitchFamily="34" charset="0"/>
            </a:rPr>
            <a:t>250</a:t>
          </a:r>
          <a:endParaRPr lang="fr-FR" sz="9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0.26249</cdr:x>
      <cdr:y>0.81562</cdr:y>
    </cdr:from>
    <cdr:to>
      <cdr:x>0.26273</cdr:x>
      <cdr:y>0.81708</cdr:y>
    </cdr:to>
    <cdr:sp macro="" textlink="">
      <cdr:nvSpPr>
        <cdr:cNvPr id="5" name="ZoneTexte 4"/>
        <cdr:cNvSpPr txBox="1"/>
      </cdr:nvSpPr>
      <cdr:spPr>
        <a:xfrm xmlns:a="http://schemas.openxmlformats.org/drawingml/2006/main">
          <a:off x="2105025" y="5076825"/>
          <a:ext cx="1724025"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fr-FR"/>
        </a:p>
      </cdr:txBody>
    </cdr:sp>
  </cdr:relSizeAnchor>
  <cdr:relSizeAnchor xmlns:cdr="http://schemas.openxmlformats.org/drawingml/2006/chartDrawing">
    <cdr:from>
      <cdr:x>0.27298</cdr:x>
      <cdr:y>0.81562</cdr:y>
    </cdr:from>
    <cdr:to>
      <cdr:x>0.27348</cdr:x>
      <cdr:y>0.81708</cdr:y>
    </cdr:to>
    <cdr:sp macro="" textlink="">
      <cdr:nvSpPr>
        <cdr:cNvPr id="6" name="ZoneTexte 5"/>
        <cdr:cNvSpPr txBox="1"/>
      </cdr:nvSpPr>
      <cdr:spPr>
        <a:xfrm xmlns:a="http://schemas.openxmlformats.org/drawingml/2006/main">
          <a:off x="1981199" y="3454501"/>
          <a:ext cx="1242424" cy="62219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fr-FR" sz="800">
              <a:latin typeface="Arial" panose="020B0604020202020204" pitchFamily="34" charset="0"/>
              <a:cs typeface="Arial" panose="020B0604020202020204" pitchFamily="34" charset="0"/>
            </a:rPr>
            <a:t>ETI e</a:t>
          </a:r>
          <a:r>
            <a:rPr lang="fr-FR" sz="1100"/>
            <a:t>ntre 250 &amp; 5000</a:t>
          </a:r>
        </a:p>
      </cdr:txBody>
    </cdr:sp>
  </cdr:relSizeAnchor>
  <cdr:relSizeAnchor xmlns:cdr="http://schemas.openxmlformats.org/drawingml/2006/chartDrawing">
    <cdr:from>
      <cdr:x>0.47525</cdr:x>
      <cdr:y>0.80842</cdr:y>
    </cdr:from>
    <cdr:to>
      <cdr:x>0.47525</cdr:x>
      <cdr:y>0.80867</cdr:y>
    </cdr:to>
    <cdr:sp macro="" textlink="">
      <cdr:nvSpPr>
        <cdr:cNvPr id="7" name="ZoneTexte 6"/>
        <cdr:cNvSpPr txBox="1"/>
      </cdr:nvSpPr>
      <cdr:spPr>
        <a:xfrm xmlns:a="http://schemas.openxmlformats.org/drawingml/2006/main">
          <a:off x="3438524" y="3752850"/>
          <a:ext cx="1666875" cy="7239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fr-FR" sz="1100" baseline="0"/>
            <a:t>            Groupes</a:t>
          </a:r>
        </a:p>
        <a:p xmlns:a="http://schemas.openxmlformats.org/drawingml/2006/main">
          <a:r>
            <a:rPr lang="fr-FR" sz="1100" baseline="0"/>
            <a:t>    d'entreprises ou</a:t>
          </a:r>
        </a:p>
        <a:p xmlns:a="http://schemas.openxmlformats.org/drawingml/2006/main">
          <a:r>
            <a:rPr lang="fr-FR" sz="1100"/>
            <a:t>grandes</a:t>
          </a:r>
          <a:r>
            <a:rPr lang="fr-FR" sz="1100" baseline="0"/>
            <a:t> entreprises &gt; 5000</a:t>
          </a:r>
          <a:endParaRPr lang="fr-FR" sz="1100"/>
        </a:p>
      </cdr:txBody>
    </cdr:sp>
  </cdr:relSizeAnchor>
  <cdr:relSizeAnchor xmlns:cdr="http://schemas.openxmlformats.org/drawingml/2006/chartDrawing">
    <cdr:from>
      <cdr:x>0.78674</cdr:x>
      <cdr:y>0.79076</cdr:y>
    </cdr:from>
    <cdr:to>
      <cdr:x>1</cdr:x>
      <cdr:y>0.96682</cdr:y>
    </cdr:to>
    <cdr:sp macro="" textlink="">
      <cdr:nvSpPr>
        <cdr:cNvPr id="8" name="ZoneTexte 7"/>
        <cdr:cNvSpPr txBox="1"/>
      </cdr:nvSpPr>
      <cdr:spPr>
        <a:xfrm xmlns:a="http://schemas.openxmlformats.org/drawingml/2006/main">
          <a:off x="3979154" y="3178517"/>
          <a:ext cx="1078621" cy="70768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fr-FR" sz="800">
              <a:latin typeface="Arial" panose="020B0604020202020204" pitchFamily="34" charset="0"/>
              <a:cs typeface="Arial" panose="020B0604020202020204" pitchFamily="34" charset="0"/>
            </a:rPr>
            <a:t>        Associations ou</a:t>
          </a:r>
        </a:p>
        <a:p xmlns:a="http://schemas.openxmlformats.org/drawingml/2006/main">
          <a:r>
            <a:rPr lang="fr-FR" sz="800">
              <a:latin typeface="Arial" panose="020B0604020202020204" pitchFamily="34" charset="0"/>
              <a:cs typeface="Arial" panose="020B0604020202020204" pitchFamily="34" charset="0"/>
            </a:rPr>
            <a:t> collectivités</a:t>
          </a:r>
          <a:r>
            <a:rPr lang="fr-FR" sz="800" baseline="0">
              <a:latin typeface="Arial" panose="020B0604020202020204" pitchFamily="34" charset="0"/>
              <a:cs typeface="Arial" panose="020B0604020202020204" pitchFamily="34" charset="0"/>
            </a:rPr>
            <a:t> </a:t>
          </a:r>
          <a:r>
            <a:rPr lang="fr-FR" sz="800">
              <a:latin typeface="Arial" panose="020B0604020202020204" pitchFamily="34" charset="0"/>
              <a:cs typeface="Arial" panose="020B0604020202020204" pitchFamily="34" charset="0"/>
            </a:rPr>
            <a:t>territoriales</a:t>
          </a:r>
        </a:p>
      </cdr:txBody>
    </cdr:sp>
  </cdr:relSizeAnchor>
  <cdr:relSizeAnchor xmlns:cdr="http://schemas.openxmlformats.org/drawingml/2006/chartDrawing">
    <cdr:from>
      <cdr:x>0.03523</cdr:x>
      <cdr:y>0.91842</cdr:y>
    </cdr:from>
    <cdr:to>
      <cdr:x>0.03622</cdr:x>
      <cdr:y>0.9189</cdr:y>
    </cdr:to>
    <cdr:sp macro="" textlink="">
      <cdr:nvSpPr>
        <cdr:cNvPr id="9" name="ZoneTexte 8"/>
        <cdr:cNvSpPr txBox="1"/>
      </cdr:nvSpPr>
      <cdr:spPr>
        <a:xfrm xmlns:a="http://schemas.openxmlformats.org/drawingml/2006/main">
          <a:off x="295275" y="4257674"/>
          <a:ext cx="914400" cy="3524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fr-FR"/>
        </a:p>
      </cdr:txBody>
    </cdr:sp>
  </cdr:relSizeAnchor>
  <cdr:relSizeAnchor xmlns:cdr="http://schemas.openxmlformats.org/drawingml/2006/chartDrawing">
    <cdr:from>
      <cdr:x>0.03773</cdr:x>
      <cdr:y>0.9137</cdr:y>
    </cdr:from>
    <cdr:to>
      <cdr:x>0.03871</cdr:x>
      <cdr:y>0.91443</cdr:y>
    </cdr:to>
    <cdr:sp macro="" textlink="">
      <cdr:nvSpPr>
        <cdr:cNvPr id="10" name="ZoneTexte 9"/>
        <cdr:cNvSpPr txBox="1"/>
      </cdr:nvSpPr>
      <cdr:spPr>
        <a:xfrm xmlns:a="http://schemas.openxmlformats.org/drawingml/2006/main">
          <a:off x="314325" y="4238624"/>
          <a:ext cx="914400" cy="3714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fr-FR"/>
        </a:p>
      </cdr:txBody>
    </cdr:sp>
  </cdr:relSizeAnchor>
  <cdr:relSizeAnchor xmlns:cdr="http://schemas.openxmlformats.org/drawingml/2006/chartDrawing">
    <cdr:from>
      <cdr:x>0.6172</cdr:x>
      <cdr:y>0.57589</cdr:y>
    </cdr:from>
    <cdr:to>
      <cdr:x>0.70674</cdr:x>
      <cdr:y>0.636</cdr:y>
    </cdr:to>
    <cdr:sp macro="" textlink="">
      <cdr:nvSpPr>
        <cdr:cNvPr id="12" name="ZoneTexte 11"/>
        <cdr:cNvSpPr txBox="1"/>
      </cdr:nvSpPr>
      <cdr:spPr>
        <a:xfrm xmlns:a="http://schemas.openxmlformats.org/drawingml/2006/main">
          <a:off x="4429125" y="2943225"/>
          <a:ext cx="657225" cy="3238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fr-FR"/>
        </a:p>
      </cdr:txBody>
    </cdr:sp>
  </cdr:relSizeAnchor>
  <cdr:relSizeAnchor xmlns:cdr="http://schemas.openxmlformats.org/drawingml/2006/chartDrawing">
    <cdr:from>
      <cdr:x>0.63435</cdr:x>
      <cdr:y>0.59901</cdr:y>
    </cdr:from>
    <cdr:to>
      <cdr:x>0.68553</cdr:x>
      <cdr:y>0.64273</cdr:y>
    </cdr:to>
    <cdr:sp macro="" textlink="">
      <cdr:nvSpPr>
        <cdr:cNvPr id="13" name="ZoneTexte 12"/>
        <cdr:cNvSpPr txBox="1"/>
      </cdr:nvSpPr>
      <cdr:spPr>
        <a:xfrm xmlns:a="http://schemas.openxmlformats.org/drawingml/2006/main">
          <a:off x="3855776" y="3132366"/>
          <a:ext cx="311088" cy="2286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fr-FR" sz="900">
              <a:latin typeface="Arial" panose="020B0604020202020204" pitchFamily="34" charset="0"/>
              <a:cs typeface="Arial" panose="020B0604020202020204" pitchFamily="34" charset="0"/>
            </a:rPr>
            <a:t>*15%</a:t>
          </a:r>
        </a:p>
      </cdr:txBody>
    </cdr:sp>
  </cdr:relSizeAnchor>
  <cdr:relSizeAnchor xmlns:cdr="http://schemas.openxmlformats.org/drawingml/2006/chartDrawing">
    <cdr:from>
      <cdr:x>0.84568</cdr:x>
      <cdr:y>0.6318</cdr:y>
    </cdr:from>
    <cdr:to>
      <cdr:x>0.90925</cdr:x>
      <cdr:y>0.67097</cdr:y>
    </cdr:to>
    <cdr:sp macro="" textlink="">
      <cdr:nvSpPr>
        <cdr:cNvPr id="14" name="ZoneTexte 13"/>
        <cdr:cNvSpPr txBox="1"/>
      </cdr:nvSpPr>
      <cdr:spPr>
        <a:xfrm xmlns:a="http://schemas.openxmlformats.org/drawingml/2006/main">
          <a:off x="5140306" y="3303816"/>
          <a:ext cx="386398" cy="20482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fr-FR" sz="900">
              <a:latin typeface="Arial" panose="020B0604020202020204" pitchFamily="34" charset="0"/>
              <a:cs typeface="Arial" panose="020B0604020202020204" pitchFamily="34" charset="0"/>
            </a:rPr>
            <a:t>*69%</a:t>
          </a:r>
        </a:p>
      </cdr:txBody>
    </cdr:sp>
  </cdr:relSizeAnchor>
  <cdr:relSizeAnchor xmlns:cdr="http://schemas.openxmlformats.org/drawingml/2006/chartDrawing">
    <cdr:from>
      <cdr:x>0.30991</cdr:x>
      <cdr:y>0.8316</cdr:y>
    </cdr:from>
    <cdr:to>
      <cdr:x>0.43545</cdr:x>
      <cdr:y>0.89764</cdr:y>
    </cdr:to>
    <cdr:sp macro="" textlink="">
      <cdr:nvSpPr>
        <cdr:cNvPr id="15" name="ZoneTexte 14"/>
        <cdr:cNvSpPr txBox="1"/>
      </cdr:nvSpPr>
      <cdr:spPr>
        <a:xfrm xmlns:a="http://schemas.openxmlformats.org/drawingml/2006/main">
          <a:off x="2468880" y="5433060"/>
          <a:ext cx="1021080" cy="312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0.26338</cdr:x>
      <cdr:y>0.82485</cdr:y>
    </cdr:from>
    <cdr:to>
      <cdr:x>0.45616</cdr:x>
      <cdr:y>0.97767</cdr:y>
    </cdr:to>
    <cdr:sp macro="" textlink="">
      <cdr:nvSpPr>
        <cdr:cNvPr id="16" name="ZoneTexte 15"/>
        <cdr:cNvSpPr txBox="1"/>
      </cdr:nvSpPr>
      <cdr:spPr>
        <a:xfrm xmlns:a="http://schemas.openxmlformats.org/drawingml/2006/main">
          <a:off x="2048767" y="4239345"/>
          <a:ext cx="1499588" cy="78542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fr-FR" sz="900">
              <a:latin typeface="Arial" panose="020B0604020202020204" pitchFamily="34" charset="0"/>
              <a:cs typeface="Arial" panose="020B0604020202020204" pitchFamily="34" charset="0"/>
            </a:rPr>
            <a:t>ETI entre 250 &amp; 5000 </a:t>
          </a:r>
        </a:p>
        <a:p xmlns:a="http://schemas.openxmlformats.org/drawingml/2006/main">
          <a:pPr algn="ctr">
            <a:lnSpc>
              <a:spcPts val="1100"/>
            </a:lnSpc>
          </a:pPr>
          <a:r>
            <a:rPr lang="fr-FR" sz="800">
              <a:latin typeface="Arial" panose="020B0604020202020204" pitchFamily="34" charset="0"/>
              <a:cs typeface="Arial" panose="020B0604020202020204" pitchFamily="34" charset="0"/>
            </a:rPr>
            <a:t>salariés</a:t>
          </a:r>
          <a:endParaRPr lang="fr-FR" sz="9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0.51958</cdr:x>
      <cdr:y>0.7988</cdr:y>
    </cdr:from>
    <cdr:to>
      <cdr:x>0.74941</cdr:x>
      <cdr:y>0.98104</cdr:y>
    </cdr:to>
    <cdr:sp macro="" textlink="">
      <cdr:nvSpPr>
        <cdr:cNvPr id="17" name="ZoneTexte 16"/>
        <cdr:cNvSpPr txBox="1"/>
      </cdr:nvSpPr>
      <cdr:spPr>
        <a:xfrm xmlns:a="http://schemas.openxmlformats.org/drawingml/2006/main">
          <a:off x="2627937" y="3210826"/>
          <a:ext cx="1162429" cy="73252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fr-FR" sz="800">
              <a:latin typeface="Arial" panose="020B0604020202020204" pitchFamily="34" charset="0"/>
              <a:cs typeface="Arial" panose="020B0604020202020204" pitchFamily="34" charset="0"/>
            </a:rPr>
            <a:t>Groupes d'entreprises ou </a:t>
          </a:r>
        </a:p>
        <a:p xmlns:a="http://schemas.openxmlformats.org/drawingml/2006/main">
          <a:pPr algn="ctr"/>
          <a:r>
            <a:rPr lang="fr-FR" sz="800">
              <a:latin typeface="Arial" panose="020B0604020202020204" pitchFamily="34" charset="0"/>
              <a:cs typeface="Arial" panose="020B0604020202020204" pitchFamily="34" charset="0"/>
            </a:rPr>
            <a:t>grandes entreprises &gt;= 5000 </a:t>
          </a:r>
        </a:p>
      </cdr:txBody>
    </cdr:sp>
  </cdr:relSizeAnchor>
  <cdr:relSizeAnchor xmlns:cdr="http://schemas.openxmlformats.org/drawingml/2006/chartDrawing">
    <cdr:from>
      <cdr:x>0.22257</cdr:x>
      <cdr:y>0.17647</cdr:y>
    </cdr:from>
    <cdr:to>
      <cdr:x>0.34275</cdr:x>
      <cdr:y>0.24222</cdr:y>
    </cdr:to>
    <cdr:sp macro="" textlink="">
      <cdr:nvSpPr>
        <cdr:cNvPr id="18" name="ZoneTexte 5"/>
        <cdr:cNvSpPr txBox="1"/>
      </cdr:nvSpPr>
      <cdr:spPr bwMode="auto">
        <a:xfrm xmlns:a="http://schemas.openxmlformats.org/drawingml/2006/main">
          <a:off x="1125709" y="628649"/>
          <a:ext cx="607841" cy="234223"/>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fr-FR" sz="900">
              <a:latin typeface="Arial" panose="020B0604020202020204" pitchFamily="34" charset="0"/>
              <a:cs typeface="Arial" panose="020B0604020202020204" pitchFamily="34" charset="0"/>
            </a:rPr>
            <a:t>*69%</a:t>
          </a:r>
        </a:p>
      </cdr:txBody>
    </cdr:sp>
  </cdr:relSizeAnchor>
  <cdr:relSizeAnchor xmlns:cdr="http://schemas.openxmlformats.org/drawingml/2006/chartDrawing">
    <cdr:from>
      <cdr:x>0.43515</cdr:x>
      <cdr:y>0.54813</cdr:y>
    </cdr:from>
    <cdr:to>
      <cdr:x>0.54237</cdr:x>
      <cdr:y>0.62708</cdr:y>
    </cdr:to>
    <cdr:sp macro="" textlink="">
      <cdr:nvSpPr>
        <cdr:cNvPr id="19" name="ZoneTexte 6"/>
        <cdr:cNvSpPr txBox="1"/>
      </cdr:nvSpPr>
      <cdr:spPr bwMode="auto">
        <a:xfrm xmlns:a="http://schemas.openxmlformats.org/drawingml/2006/main">
          <a:off x="2200891" y="1952624"/>
          <a:ext cx="542309" cy="281254"/>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no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fr-FR" sz="900">
              <a:latin typeface="Arial" panose="020B0604020202020204" pitchFamily="34" charset="0"/>
              <a:cs typeface="Arial" panose="020B0604020202020204" pitchFamily="34" charset="0"/>
            </a:rPr>
            <a:t>*34%</a:t>
          </a:r>
        </a:p>
      </cdr:txBody>
    </cdr:sp>
  </cdr:relSizeAnchor>
  <cdr:relSizeAnchor xmlns:cdr="http://schemas.openxmlformats.org/drawingml/2006/chartDrawing">
    <cdr:from>
      <cdr:x>0</cdr:x>
      <cdr:y>0.91449</cdr:y>
    </cdr:from>
    <cdr:to>
      <cdr:x>1</cdr:x>
      <cdr:y>0.99762</cdr:y>
    </cdr:to>
    <cdr:sp macro="" textlink="">
      <cdr:nvSpPr>
        <cdr:cNvPr id="3" name="ZoneTexte 2"/>
        <cdr:cNvSpPr txBox="1"/>
      </cdr:nvSpPr>
      <cdr:spPr>
        <a:xfrm xmlns:a="http://schemas.openxmlformats.org/drawingml/2006/main">
          <a:off x="0" y="3667125"/>
          <a:ext cx="5705475" cy="3333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fr-FR" sz="800">
              <a:latin typeface="Arial" panose="020B0604020202020204" pitchFamily="34" charset="0"/>
              <a:cs typeface="Arial" panose="020B0604020202020204" pitchFamily="34" charset="0"/>
            </a:rPr>
            <a:t>(*)</a:t>
          </a:r>
          <a:r>
            <a:rPr lang="fr-FR" sz="800" baseline="0">
              <a:latin typeface="Arial" panose="020B0604020202020204" pitchFamily="34" charset="0"/>
              <a:cs typeface="Arial" panose="020B0604020202020204" pitchFamily="34" charset="0"/>
            </a:rPr>
            <a:t> Part des nouveaux employeurs, n'ayant pas employé de Cifre les  années précédentes.</a:t>
          </a:r>
        </a:p>
        <a:p xmlns:a="http://schemas.openxmlformats.org/drawingml/2006/main">
          <a:pPr marL="0" marR="0" indent="0" algn="r" defTabSz="914400" rtl="0" eaLnBrk="1" fontAlgn="auto" latinLnBrk="0" hangingPunct="1">
            <a:lnSpc>
              <a:spcPct val="100000"/>
            </a:lnSpc>
            <a:spcBef>
              <a:spcPts val="0"/>
            </a:spcBef>
            <a:spcAft>
              <a:spcPts val="0"/>
            </a:spcAft>
            <a:buClrTx/>
            <a:buSzTx/>
            <a:buFontTx/>
            <a:buNone/>
            <a:tabLst/>
            <a:defRPr/>
          </a:pPr>
          <a:r>
            <a:rPr lang="fr-FR" sz="800" b="0" i="1" baseline="0">
              <a:effectLst/>
              <a:latin typeface="Arial" panose="020B0604020202020204" pitchFamily="34" charset="0"/>
              <a:ea typeface="+mn-ea"/>
              <a:cs typeface="Arial" panose="020B0604020202020204" pitchFamily="34" charset="0"/>
            </a:rPr>
            <a:t>Source : ANRT et MESRI-DGRI C2.</a:t>
          </a:r>
          <a:endParaRPr lang="fr-FR" sz="800">
            <a:effectLst/>
            <a:latin typeface="Arial" panose="020B0604020202020204" pitchFamily="34" charset="0"/>
            <a:cs typeface="Arial" panose="020B0604020202020204" pitchFamily="34" charset="0"/>
          </a:endParaRPr>
        </a:p>
        <a:p xmlns:a="http://schemas.openxmlformats.org/drawingml/2006/main">
          <a:r>
            <a:rPr lang="fr-FR" sz="800" baseline="0">
              <a:latin typeface="Arial" panose="020B0604020202020204" pitchFamily="34" charset="0"/>
              <a:cs typeface="Arial" panose="020B0604020202020204" pitchFamily="34" charset="0"/>
            </a:rPr>
            <a:t> </a:t>
          </a:r>
          <a:endParaRPr lang="fr-FR" sz="8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0.10959</cdr:y>
    </cdr:to>
    <cdr:sp macro="" textlink="">
      <cdr:nvSpPr>
        <cdr:cNvPr id="11" name="ZoneTexte 10"/>
        <cdr:cNvSpPr txBox="1"/>
      </cdr:nvSpPr>
      <cdr:spPr>
        <a:xfrm xmlns:a="http://schemas.openxmlformats.org/drawingml/2006/main">
          <a:off x="0" y="0"/>
          <a:ext cx="570547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rtl="0"/>
          <a:r>
            <a:rPr lang="fr-FR" sz="1100" b="1" i="0" baseline="0">
              <a:effectLst/>
              <a:latin typeface="+mn-lt"/>
              <a:ea typeface="+mn-ea"/>
              <a:cs typeface="+mn-cs"/>
            </a:rPr>
            <a:t>Employeurs de Cifre</a:t>
          </a:r>
          <a:endParaRPr lang="fr-FR">
            <a:effectLst/>
          </a:endParaRPr>
        </a:p>
        <a:p xmlns:a="http://schemas.openxmlformats.org/drawingml/2006/main">
          <a:pPr algn="ctr" rtl="0"/>
          <a:r>
            <a:rPr lang="fr-FR" sz="1100" b="1" i="0" baseline="0">
              <a:effectLst/>
              <a:latin typeface="+mn-lt"/>
              <a:ea typeface="+mn-ea"/>
              <a:cs typeface="+mn-cs"/>
            </a:rPr>
            <a:t>814 en 2019 (56% de nouveaux par rapport aux employeurs de 2013-2019)</a:t>
          </a:r>
          <a:endParaRPr lang="fr-FR">
            <a:effectLst/>
          </a:endParaRPr>
        </a:p>
        <a:p xmlns:a="http://schemas.openxmlformats.org/drawingml/2006/main">
          <a:endParaRPr lang="fr-FR" sz="1100"/>
        </a:p>
      </cdr:txBody>
    </cdr:sp>
  </cdr:relSizeAnchor>
</c:userShape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8"/>
  <sheetViews>
    <sheetView showGridLines="0" tabSelected="1" workbookViewId="0">
      <selection activeCell="A4" sqref="A4"/>
    </sheetView>
  </sheetViews>
  <sheetFormatPr baseColWidth="10" defaultRowHeight="12.75" x14ac:dyDescent="0.2"/>
  <cols>
    <col min="1" max="1" width="11.5703125" customWidth="1"/>
    <col min="2" max="2" width="69.140625" customWidth="1"/>
    <col min="3" max="3" width="6.28515625" customWidth="1"/>
  </cols>
  <sheetData>
    <row r="1" spans="1:4" x14ac:dyDescent="0.2">
      <c r="A1" s="429" t="s">
        <v>254</v>
      </c>
      <c r="B1" s="429"/>
      <c r="C1" s="352"/>
    </row>
    <row r="2" spans="1:4" x14ac:dyDescent="0.2">
      <c r="A2" s="12"/>
      <c r="B2" s="12"/>
      <c r="C2" s="12"/>
    </row>
    <row r="3" spans="1:4" ht="15" x14ac:dyDescent="0.25">
      <c r="A3" s="430" t="s">
        <v>50</v>
      </c>
      <c r="B3" s="430"/>
      <c r="C3" s="353"/>
    </row>
    <row r="4" spans="1:4" x14ac:dyDescent="0.2">
      <c r="A4" s="12"/>
      <c r="B4" s="13"/>
      <c r="C4" s="13"/>
    </row>
    <row r="5" spans="1:4" x14ac:dyDescent="0.2">
      <c r="A5" s="431" t="s">
        <v>255</v>
      </c>
      <c r="B5" s="431"/>
      <c r="C5" s="354"/>
    </row>
    <row r="6" spans="1:4" x14ac:dyDescent="0.2">
      <c r="A6" s="12"/>
      <c r="B6" s="12"/>
      <c r="C6" s="12"/>
    </row>
    <row r="7" spans="1:4" ht="15.75" x14ac:dyDescent="0.2">
      <c r="A7" s="432" t="s">
        <v>61</v>
      </c>
      <c r="B7" s="432"/>
      <c r="C7" s="355"/>
    </row>
    <row r="8" spans="1:4" x14ac:dyDescent="0.2">
      <c r="A8" s="12"/>
      <c r="B8" s="12"/>
      <c r="C8" s="12"/>
    </row>
    <row r="9" spans="1:4" x14ac:dyDescent="0.2">
      <c r="A9" s="433" t="s">
        <v>51</v>
      </c>
      <c r="B9" s="433"/>
      <c r="C9" s="356"/>
    </row>
    <row r="10" spans="1:4" x14ac:dyDescent="0.2">
      <c r="A10" s="150" t="s">
        <v>52</v>
      </c>
      <c r="B10" s="151" t="s">
        <v>53</v>
      </c>
      <c r="C10" s="357" t="s">
        <v>225</v>
      </c>
    </row>
    <row r="11" spans="1:4" x14ac:dyDescent="0.2">
      <c r="A11" s="152" t="s">
        <v>112</v>
      </c>
      <c r="B11" s="153" t="s">
        <v>107</v>
      </c>
      <c r="C11" s="323" t="s">
        <v>245</v>
      </c>
      <c r="D11" s="17"/>
    </row>
    <row r="12" spans="1:4" x14ac:dyDescent="0.2">
      <c r="A12" s="152" t="s">
        <v>113</v>
      </c>
      <c r="B12" s="154" t="s">
        <v>133</v>
      </c>
      <c r="C12" s="323" t="s">
        <v>246</v>
      </c>
      <c r="D12" s="17"/>
    </row>
    <row r="13" spans="1:4" x14ac:dyDescent="0.2">
      <c r="A13" s="152" t="s">
        <v>238</v>
      </c>
      <c r="B13" s="154" t="s">
        <v>237</v>
      </c>
      <c r="C13" s="323"/>
    </row>
    <row r="14" spans="1:4" x14ac:dyDescent="0.2">
      <c r="A14" s="152" t="s">
        <v>114</v>
      </c>
      <c r="B14" s="154" t="s">
        <v>132</v>
      </c>
      <c r="C14" s="323" t="s">
        <v>247</v>
      </c>
      <c r="D14" s="17"/>
    </row>
    <row r="15" spans="1:4" x14ac:dyDescent="0.2">
      <c r="A15" s="152" t="s">
        <v>81</v>
      </c>
      <c r="B15" s="155" t="s">
        <v>128</v>
      </c>
      <c r="C15" s="323"/>
    </row>
    <row r="16" spans="1:4" x14ac:dyDescent="0.2">
      <c r="A16" s="152" t="s">
        <v>204</v>
      </c>
      <c r="B16" s="154" t="s">
        <v>206</v>
      </c>
      <c r="C16" s="323" t="s">
        <v>248</v>
      </c>
      <c r="D16" s="17"/>
    </row>
    <row r="17" spans="1:10" x14ac:dyDescent="0.2">
      <c r="A17" s="152" t="s">
        <v>89</v>
      </c>
      <c r="B17" s="154" t="s">
        <v>119</v>
      </c>
      <c r="C17" s="323"/>
    </row>
    <row r="18" spans="1:10" x14ac:dyDescent="0.2">
      <c r="A18" s="152" t="s">
        <v>205</v>
      </c>
      <c r="B18" s="154" t="s">
        <v>207</v>
      </c>
      <c r="C18" s="323" t="s">
        <v>249</v>
      </c>
      <c r="D18" s="17"/>
    </row>
    <row r="19" spans="1:10" x14ac:dyDescent="0.2">
      <c r="A19" s="152" t="s">
        <v>90</v>
      </c>
      <c r="B19" s="154" t="s">
        <v>120</v>
      </c>
      <c r="C19" s="323"/>
    </row>
    <row r="20" spans="1:10" x14ac:dyDescent="0.2">
      <c r="A20" s="152" t="s">
        <v>91</v>
      </c>
      <c r="B20" s="154" t="s">
        <v>208</v>
      </c>
      <c r="C20" s="323" t="s">
        <v>250</v>
      </c>
      <c r="D20" s="17"/>
    </row>
    <row r="21" spans="1:10" x14ac:dyDescent="0.2">
      <c r="A21" s="152" t="s">
        <v>92</v>
      </c>
      <c r="B21" s="154" t="s">
        <v>209</v>
      </c>
      <c r="C21" s="323" t="s">
        <v>251</v>
      </c>
      <c r="D21" s="17"/>
    </row>
    <row r="22" spans="1:10" x14ac:dyDescent="0.2">
      <c r="A22" s="152" t="s">
        <v>115</v>
      </c>
      <c r="B22" s="154" t="s">
        <v>86</v>
      </c>
      <c r="C22" s="323" t="s">
        <v>252</v>
      </c>
      <c r="D22" s="17"/>
      <c r="I22" s="7"/>
      <c r="J22" s="7"/>
    </row>
    <row r="23" spans="1:10" x14ac:dyDescent="0.2">
      <c r="A23" s="152" t="s">
        <v>129</v>
      </c>
      <c r="B23" s="154" t="s">
        <v>256</v>
      </c>
      <c r="C23" s="323" t="s">
        <v>253</v>
      </c>
      <c r="D23" s="17"/>
      <c r="I23" s="7"/>
      <c r="J23" s="7"/>
    </row>
    <row r="24" spans="1:10" x14ac:dyDescent="0.2">
      <c r="A24" s="428" t="s">
        <v>54</v>
      </c>
      <c r="B24" s="428"/>
      <c r="C24" s="351"/>
    </row>
    <row r="25" spans="1:10" ht="195" customHeight="1" x14ac:dyDescent="0.2">
      <c r="A25" s="434" t="s">
        <v>257</v>
      </c>
      <c r="B25" s="434"/>
      <c r="C25" s="434"/>
    </row>
    <row r="26" spans="1:10" x14ac:dyDescent="0.2">
      <c r="A26" s="12"/>
      <c r="B26" s="14"/>
      <c r="C26" s="14"/>
    </row>
    <row r="27" spans="1:10" x14ac:dyDescent="0.2">
      <c r="A27" s="428" t="s">
        <v>55</v>
      </c>
      <c r="B27" s="428"/>
      <c r="C27" s="351"/>
    </row>
    <row r="28" spans="1:10" x14ac:dyDescent="0.2">
      <c r="A28" s="15" t="s">
        <v>56</v>
      </c>
      <c r="B28" s="12"/>
      <c r="C28" s="12"/>
    </row>
    <row r="29" spans="1:10" x14ac:dyDescent="0.2">
      <c r="A29" s="15" t="s">
        <v>57</v>
      </c>
      <c r="B29" s="12"/>
      <c r="C29" s="12"/>
    </row>
    <row r="30" spans="1:10" x14ac:dyDescent="0.2">
      <c r="A30" s="15" t="s">
        <v>58</v>
      </c>
      <c r="B30" s="12"/>
      <c r="C30" s="12"/>
    </row>
    <row r="31" spans="1:10" x14ac:dyDescent="0.2">
      <c r="A31" s="15" t="s">
        <v>59</v>
      </c>
      <c r="B31" s="12"/>
      <c r="C31" s="12"/>
    </row>
    <row r="32" spans="1:10" x14ac:dyDescent="0.2">
      <c r="A32" s="15" t="s">
        <v>60</v>
      </c>
      <c r="B32" s="12"/>
      <c r="C32" s="12"/>
    </row>
    <row r="33" spans="1:3" x14ac:dyDescent="0.2">
      <c r="A33" s="12"/>
      <c r="B33" s="15"/>
      <c r="C33" s="15"/>
    </row>
    <row r="34" spans="1:3" ht="33.75" x14ac:dyDescent="0.2">
      <c r="A34" s="12"/>
      <c r="B34" s="16" t="s">
        <v>67</v>
      </c>
      <c r="C34" s="16"/>
    </row>
    <row r="35" spans="1:3" x14ac:dyDescent="0.2">
      <c r="A35" s="17"/>
    </row>
    <row r="38" spans="1:3" x14ac:dyDescent="0.2">
      <c r="B38" s="358"/>
    </row>
  </sheetData>
  <mergeCells count="8">
    <mergeCell ref="A27:B27"/>
    <mergeCell ref="A1:B1"/>
    <mergeCell ref="A3:B3"/>
    <mergeCell ref="A5:B5"/>
    <mergeCell ref="A7:B7"/>
    <mergeCell ref="A9:B9"/>
    <mergeCell ref="A24:B24"/>
    <mergeCell ref="A25:C25"/>
  </mergeCells>
  <hyperlinks>
    <hyperlink ref="A14" location="'Cifre Employeur'!A1" display="Cifre Employeur"/>
    <hyperlink ref="A17" location="secteur!A1" display="secteur"/>
    <hyperlink ref="A19" location="'Origine geo'!A1" display="Origine geo"/>
    <hyperlink ref="A20" location="Diplômes!A1" display="Diplômes"/>
    <hyperlink ref="A21" location="Salaire!A1" display="Salaire!A1"/>
    <hyperlink ref="A22" location="soutenance!A1" display="Soutenance"/>
    <hyperlink ref="A11" location="'Evol Cifre'!A1" display="Evol Cifre"/>
    <hyperlink ref="A12" location="'Domaine sc'!A1" display="Domaine sc"/>
    <hyperlink ref="A15" location="Employeur!A1" display="Employeur"/>
    <hyperlink ref="A23" location="Publications!A1" display="Publications!A1"/>
    <hyperlink ref="A16" location="'Secteur (2)'!A1" display="secteur (2)"/>
    <hyperlink ref="A18" location="'Origine geo (2)'!A1" display="Origine geo (2)"/>
    <hyperlink ref="A13" location="'Domaine sc fem'!A1" display="Domaine sc fe"/>
  </hyperlinks>
  <pageMargins left="0.23622047244094491" right="0" top="0.35433070866141736" bottom="0.35433070866141736" header="0" footer="0.31496062992125984"/>
  <pageSetup paperSize="9" scale="8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T18"/>
  <sheetViews>
    <sheetView showGridLines="0" zoomScaleNormal="100" workbookViewId="0">
      <selection activeCell="Q8" sqref="Q8"/>
    </sheetView>
  </sheetViews>
  <sheetFormatPr baseColWidth="10" defaultRowHeight="12.75" x14ac:dyDescent="0.2"/>
  <cols>
    <col min="1" max="1" width="20.5703125" style="1" customWidth="1"/>
    <col min="2" max="2" width="7.5703125" style="1" customWidth="1"/>
    <col min="3" max="3" width="5.28515625" style="1" customWidth="1"/>
    <col min="4" max="4" width="7.5703125" style="1" customWidth="1"/>
    <col min="5" max="5" width="5.28515625" style="1" customWidth="1"/>
    <col min="6" max="6" width="7.5703125" style="1" customWidth="1"/>
    <col min="7" max="7" width="5.28515625" style="1" customWidth="1"/>
    <col min="8" max="8" width="7.5703125" style="1" customWidth="1"/>
    <col min="9" max="9" width="5.28515625" style="1" customWidth="1"/>
    <col min="10" max="10" width="7.5703125" style="1" customWidth="1"/>
    <col min="11" max="11" width="5.28515625" style="1" customWidth="1"/>
    <col min="12" max="12" width="7.5703125" style="1" customWidth="1"/>
    <col min="13" max="13" width="5.28515625" style="1" customWidth="1"/>
    <col min="14" max="14" width="7.5703125" style="1" customWidth="1"/>
    <col min="15" max="15" width="5.28515625" style="1" customWidth="1"/>
    <col min="16" max="16" width="6.7109375" style="1" customWidth="1"/>
    <col min="17" max="16384" width="11.42578125" style="1"/>
  </cols>
  <sheetData>
    <row r="1" spans="1:20" x14ac:dyDescent="0.2">
      <c r="A1" s="507" t="s">
        <v>131</v>
      </c>
      <c r="B1" s="507"/>
      <c r="C1" s="507"/>
      <c r="D1" s="507"/>
      <c r="E1" s="507"/>
      <c r="F1" s="507"/>
    </row>
    <row r="2" spans="1:20" ht="33" customHeight="1" x14ac:dyDescent="0.2">
      <c r="A2" s="493" t="s">
        <v>85</v>
      </c>
      <c r="B2" s="505">
        <v>2013</v>
      </c>
      <c r="C2" s="506"/>
      <c r="D2" s="505">
        <v>2014</v>
      </c>
      <c r="E2" s="506"/>
      <c r="F2" s="505">
        <v>2015</v>
      </c>
      <c r="G2" s="506"/>
      <c r="H2" s="505">
        <v>2016</v>
      </c>
      <c r="I2" s="506"/>
      <c r="J2" s="505">
        <v>2017</v>
      </c>
      <c r="K2" s="506"/>
      <c r="L2" s="505">
        <v>2018</v>
      </c>
      <c r="M2" s="506"/>
      <c r="N2" s="505">
        <v>2019</v>
      </c>
      <c r="O2" s="506"/>
      <c r="P2" s="444" t="s">
        <v>143</v>
      </c>
    </row>
    <row r="3" spans="1:20" ht="12" customHeight="1" x14ac:dyDescent="0.2">
      <c r="A3" s="494"/>
      <c r="B3" s="58" t="s">
        <v>82</v>
      </c>
      <c r="C3" s="58" t="s">
        <v>16</v>
      </c>
      <c r="D3" s="58" t="s">
        <v>82</v>
      </c>
      <c r="E3" s="58" t="s">
        <v>16</v>
      </c>
      <c r="F3" s="58" t="s">
        <v>82</v>
      </c>
      <c r="G3" s="58" t="s">
        <v>16</v>
      </c>
      <c r="H3" s="58" t="s">
        <v>82</v>
      </c>
      <c r="I3" s="58" t="s">
        <v>16</v>
      </c>
      <c r="J3" s="58" t="s">
        <v>82</v>
      </c>
      <c r="K3" s="58" t="s">
        <v>16</v>
      </c>
      <c r="L3" s="58" t="s">
        <v>82</v>
      </c>
      <c r="M3" s="58" t="s">
        <v>16</v>
      </c>
      <c r="N3" s="58" t="s">
        <v>82</v>
      </c>
      <c r="O3" s="58" t="s">
        <v>16</v>
      </c>
      <c r="P3" s="492"/>
    </row>
    <row r="4" spans="1:20" x14ac:dyDescent="0.2">
      <c r="A4" s="72" t="s">
        <v>0</v>
      </c>
      <c r="B4" s="38">
        <v>28</v>
      </c>
      <c r="C4" s="121">
        <f t="shared" ref="C4:C14" si="0">B4/$B$14</f>
        <v>2.2635408245755859E-2</v>
      </c>
      <c r="D4" s="38">
        <f>ROUND(E4*D$14,0)</f>
        <v>28</v>
      </c>
      <c r="E4" s="121">
        <v>2.0710059171597635E-2</v>
      </c>
      <c r="F4" s="73">
        <v>26</v>
      </c>
      <c r="G4" s="121">
        <f t="shared" ref="G4:G14" si="1">F4/$F$14</f>
        <v>1.8799710773680405E-2</v>
      </c>
      <c r="H4" s="73">
        <v>30</v>
      </c>
      <c r="I4" s="74">
        <f t="shared" ref="I4:I14" si="2">H4/$H$14</f>
        <v>2.178649237472767E-2</v>
      </c>
      <c r="J4" s="73">
        <v>34</v>
      </c>
      <c r="K4" s="75">
        <v>2.3726448011165389E-2</v>
      </c>
      <c r="L4" s="73">
        <v>20</v>
      </c>
      <c r="M4" s="171">
        <v>1.3333333333333334E-2</v>
      </c>
      <c r="N4" s="73">
        <v>32</v>
      </c>
      <c r="O4" s="75">
        <f>N4/$N$14</f>
        <v>2.2068965517241378E-2</v>
      </c>
      <c r="P4" s="220">
        <f>O4-C4</f>
        <v>-5.6644272851448171E-4</v>
      </c>
    </row>
    <row r="5" spans="1:20" x14ac:dyDescent="0.2">
      <c r="A5" s="72" t="s">
        <v>7</v>
      </c>
      <c r="B5" s="38">
        <v>6</v>
      </c>
      <c r="C5" s="121">
        <f t="shared" si="0"/>
        <v>4.850444624090542E-3</v>
      </c>
      <c r="D5" s="38">
        <f>ROUND(E5*D$14,0)</f>
        <v>3</v>
      </c>
      <c r="E5" s="121">
        <v>2.2189349112426036E-3</v>
      </c>
      <c r="F5" s="73">
        <v>4</v>
      </c>
      <c r="G5" s="121">
        <f t="shared" si="1"/>
        <v>2.8922631959508315E-3</v>
      </c>
      <c r="H5" s="73">
        <v>1</v>
      </c>
      <c r="I5" s="74">
        <f t="shared" si="2"/>
        <v>7.2621641249092229E-4</v>
      </c>
      <c r="J5" s="73">
        <v>6</v>
      </c>
      <c r="K5" s="75">
        <v>4.1870202372644803E-3</v>
      </c>
      <c r="L5" s="73">
        <v>9</v>
      </c>
      <c r="M5" s="171">
        <v>6.0000000000000001E-3</v>
      </c>
      <c r="N5" s="73">
        <v>5</v>
      </c>
      <c r="O5" s="75">
        <f t="shared" ref="O5:O14" si="3">N5/$N$14</f>
        <v>3.4482758620689655E-3</v>
      </c>
      <c r="P5" s="220">
        <f t="shared" ref="P5:P14" si="4">O5-C5</f>
        <v>-1.4021687620215766E-3</v>
      </c>
    </row>
    <row r="6" spans="1:20" x14ac:dyDescent="0.2">
      <c r="A6" s="72" t="s">
        <v>5</v>
      </c>
      <c r="B6" s="38">
        <v>29</v>
      </c>
      <c r="C6" s="121">
        <f t="shared" si="0"/>
        <v>2.3443815683104285E-2</v>
      </c>
      <c r="D6" s="38">
        <v>36</v>
      </c>
      <c r="E6" s="121">
        <v>2.6627218934911243E-2</v>
      </c>
      <c r="F6" s="73">
        <v>21</v>
      </c>
      <c r="G6" s="121">
        <f t="shared" si="1"/>
        <v>1.5184381778741865E-2</v>
      </c>
      <c r="H6" s="73">
        <v>38</v>
      </c>
      <c r="I6" s="74">
        <f t="shared" si="2"/>
        <v>2.7596223674655047E-2</v>
      </c>
      <c r="J6" s="73">
        <v>42</v>
      </c>
      <c r="K6" s="75">
        <v>2.930914166085136E-2</v>
      </c>
      <c r="L6" s="73">
        <v>28</v>
      </c>
      <c r="M6" s="171">
        <v>1.8666666666666668E-2</v>
      </c>
      <c r="N6" s="73">
        <v>55</v>
      </c>
      <c r="O6" s="75">
        <f t="shared" si="3"/>
        <v>3.793103448275862E-2</v>
      </c>
      <c r="P6" s="220">
        <f t="shared" si="4"/>
        <v>1.4487218799654335E-2</v>
      </c>
    </row>
    <row r="7" spans="1:20" x14ac:dyDescent="0.2">
      <c r="A7" s="72" t="s">
        <v>1</v>
      </c>
      <c r="B7" s="38">
        <v>34</v>
      </c>
      <c r="C7" s="121">
        <f t="shared" si="0"/>
        <v>2.7485852869846401E-2</v>
      </c>
      <c r="D7" s="38">
        <f>ROUND(E7*D$14,0)</f>
        <v>63</v>
      </c>
      <c r="E7" s="121">
        <v>4.5857988165680472E-2</v>
      </c>
      <c r="F7" s="73">
        <v>54</v>
      </c>
      <c r="G7" s="121">
        <f t="shared" si="1"/>
        <v>3.9045553145336226E-2</v>
      </c>
      <c r="H7" s="73">
        <v>43</v>
      </c>
      <c r="I7" s="74">
        <f t="shared" si="2"/>
        <v>3.1227305737109658E-2</v>
      </c>
      <c r="J7" s="73">
        <v>59</v>
      </c>
      <c r="K7" s="75">
        <v>4.1172365666434056E-2</v>
      </c>
      <c r="L7" s="73">
        <v>43</v>
      </c>
      <c r="M7" s="75">
        <v>2.9000000000000001E-2</v>
      </c>
      <c r="N7" s="73">
        <v>54</v>
      </c>
      <c r="O7" s="75">
        <f t="shared" si="3"/>
        <v>3.7241379310344824E-2</v>
      </c>
      <c r="P7" s="220">
        <f t="shared" si="4"/>
        <v>9.7555264404984229E-3</v>
      </c>
      <c r="T7" s="206"/>
    </row>
    <row r="8" spans="1:20" x14ac:dyDescent="0.2">
      <c r="A8" s="72" t="s">
        <v>31</v>
      </c>
      <c r="B8" s="38">
        <v>933</v>
      </c>
      <c r="C8" s="121">
        <f t="shared" si="0"/>
        <v>0.75424413904607923</v>
      </c>
      <c r="D8" s="38">
        <f>ROUND(E8*D$14,0)</f>
        <v>1063</v>
      </c>
      <c r="E8" s="121">
        <v>0.77543905325399998</v>
      </c>
      <c r="F8" s="73">
        <v>1089</v>
      </c>
      <c r="G8" s="121">
        <f t="shared" si="1"/>
        <v>0.78741865509761388</v>
      </c>
      <c r="H8" s="73">
        <v>1063</v>
      </c>
      <c r="I8" s="74">
        <f t="shared" si="2"/>
        <v>0.77196804647785044</v>
      </c>
      <c r="J8" s="73">
        <v>1069</v>
      </c>
      <c r="K8" s="75">
        <v>0.74598743893928821</v>
      </c>
      <c r="L8" s="73">
        <v>1144</v>
      </c>
      <c r="M8" s="75">
        <v>0.76300000000000001</v>
      </c>
      <c r="N8" s="73">
        <v>1096</v>
      </c>
      <c r="O8" s="75">
        <f t="shared" si="3"/>
        <v>0.75586206896551722</v>
      </c>
      <c r="P8" s="220">
        <f t="shared" si="4"/>
        <v>1.6179299194379881E-3</v>
      </c>
      <c r="T8" s="206"/>
    </row>
    <row r="9" spans="1:20" x14ac:dyDescent="0.2">
      <c r="A9" s="72" t="s">
        <v>73</v>
      </c>
      <c r="B9" s="38">
        <v>81</v>
      </c>
      <c r="C9" s="121">
        <f t="shared" si="0"/>
        <v>6.5481002425222312E-2</v>
      </c>
      <c r="D9" s="38">
        <f>ROUND(E9*D$14,0)</f>
        <v>66</v>
      </c>
      <c r="E9" s="121">
        <v>4.807692307692308E-2</v>
      </c>
      <c r="F9" s="73">
        <v>62</v>
      </c>
      <c r="G9" s="121">
        <f t="shared" si="1"/>
        <v>4.4830079537237888E-2</v>
      </c>
      <c r="H9" s="73">
        <v>57</v>
      </c>
      <c r="I9" s="74">
        <f t="shared" si="2"/>
        <v>4.1394335511982572E-2</v>
      </c>
      <c r="J9" s="73">
        <v>59</v>
      </c>
      <c r="K9" s="75">
        <v>4.1172365666434056E-2</v>
      </c>
      <c r="L9" s="73">
        <v>75</v>
      </c>
      <c r="M9" s="75">
        <v>0.05</v>
      </c>
      <c r="N9" s="73">
        <v>52</v>
      </c>
      <c r="O9" s="75">
        <f t="shared" si="3"/>
        <v>3.5862068965517239E-2</v>
      </c>
      <c r="P9" s="220">
        <f t="shared" si="4"/>
        <v>-2.9618933459705073E-2</v>
      </c>
      <c r="T9" s="206"/>
    </row>
    <row r="10" spans="1:20" x14ac:dyDescent="0.2">
      <c r="A10" s="72" t="s">
        <v>6</v>
      </c>
      <c r="B10" s="38">
        <v>14</v>
      </c>
      <c r="C10" s="121">
        <f t="shared" si="0"/>
        <v>1.131770412287793E-2</v>
      </c>
      <c r="D10" s="38">
        <f>ROUND(E10*D$14,0)</f>
        <v>13</v>
      </c>
      <c r="E10" s="121">
        <v>9.6153846153846159E-3</v>
      </c>
      <c r="F10" s="73">
        <v>14</v>
      </c>
      <c r="G10" s="121">
        <f t="shared" si="1"/>
        <v>1.012292118582791E-2</v>
      </c>
      <c r="H10" s="73">
        <v>13</v>
      </c>
      <c r="I10" s="74">
        <f t="shared" si="2"/>
        <v>9.44081336238199E-3</v>
      </c>
      <c r="J10" s="73">
        <v>16</v>
      </c>
      <c r="K10" s="75">
        <v>1.1165387299371946E-2</v>
      </c>
      <c r="L10" s="73">
        <v>14</v>
      </c>
      <c r="M10" s="75">
        <v>8.9999999999999993E-3</v>
      </c>
      <c r="N10" s="73">
        <v>14</v>
      </c>
      <c r="O10" s="75">
        <f t="shared" si="3"/>
        <v>9.655172413793104E-3</v>
      </c>
      <c r="P10" s="220">
        <f t="shared" si="4"/>
        <v>-1.6625317090848257E-3</v>
      </c>
      <c r="T10" s="206"/>
    </row>
    <row r="11" spans="1:20" x14ac:dyDescent="0.2">
      <c r="A11" s="72" t="s">
        <v>3</v>
      </c>
      <c r="B11" s="38">
        <v>85</v>
      </c>
      <c r="C11" s="121">
        <f t="shared" si="0"/>
        <v>6.8714632174616E-2</v>
      </c>
      <c r="D11" s="38">
        <f>ROUND(E11*D$14,0)</f>
        <v>80</v>
      </c>
      <c r="E11" s="121">
        <v>5.8431952662721894E-2</v>
      </c>
      <c r="F11" s="73">
        <v>88</v>
      </c>
      <c r="G11" s="121">
        <f t="shared" si="1"/>
        <v>6.3629790310918297E-2</v>
      </c>
      <c r="H11" s="73">
        <v>101</v>
      </c>
      <c r="I11" s="74">
        <f t="shared" si="2"/>
        <v>7.3347857661583152E-2</v>
      </c>
      <c r="J11" s="73">
        <v>114</v>
      </c>
      <c r="K11" s="75">
        <v>7.9553384508025127E-2</v>
      </c>
      <c r="L11" s="73">
        <v>122</v>
      </c>
      <c r="M11" s="171">
        <v>8.1333333333333327E-2</v>
      </c>
      <c r="N11" s="73">
        <v>102</v>
      </c>
      <c r="O11" s="75">
        <f t="shared" si="3"/>
        <v>7.0344827586206901E-2</v>
      </c>
      <c r="P11" s="220">
        <f t="shared" si="4"/>
        <v>1.6301954115909012E-3</v>
      </c>
      <c r="T11" s="206"/>
    </row>
    <row r="12" spans="1:20" x14ac:dyDescent="0.2">
      <c r="A12" s="72" t="s">
        <v>2</v>
      </c>
      <c r="B12" s="38">
        <v>26</v>
      </c>
      <c r="C12" s="121">
        <f t="shared" si="0"/>
        <v>2.1018593371059015E-2</v>
      </c>
      <c r="D12" s="38">
        <v>19</v>
      </c>
      <c r="E12" s="121">
        <v>1.4492899408284E-2</v>
      </c>
      <c r="F12" s="73">
        <v>25</v>
      </c>
      <c r="G12" s="121">
        <f t="shared" si="1"/>
        <v>1.8076644974692697E-2</v>
      </c>
      <c r="H12" s="73">
        <v>29</v>
      </c>
      <c r="I12" s="74">
        <f t="shared" si="2"/>
        <v>2.1060275962236745E-2</v>
      </c>
      <c r="J12" s="73">
        <v>33</v>
      </c>
      <c r="K12" s="75">
        <v>2.3028611304954642E-2</v>
      </c>
      <c r="L12" s="73">
        <v>44</v>
      </c>
      <c r="M12" s="171">
        <v>2.9333333333333333E-2</v>
      </c>
      <c r="N12" s="73">
        <v>40</v>
      </c>
      <c r="O12" s="75">
        <f t="shared" si="3"/>
        <v>2.7586206896551724E-2</v>
      </c>
      <c r="P12" s="220">
        <f t="shared" si="4"/>
        <v>6.5676135254927083E-3</v>
      </c>
      <c r="T12" s="206"/>
    </row>
    <row r="13" spans="1:20" x14ac:dyDescent="0.2">
      <c r="A13" s="72" t="s">
        <v>25</v>
      </c>
      <c r="B13" s="38">
        <v>1</v>
      </c>
      <c r="C13" s="121">
        <f t="shared" si="0"/>
        <v>8.0840743734842356E-4</v>
      </c>
      <c r="D13" s="38">
        <f>ROUND(E13*D$14,0)</f>
        <v>0</v>
      </c>
      <c r="E13" s="121">
        <v>0</v>
      </c>
      <c r="F13" s="76">
        <v>0</v>
      </c>
      <c r="G13" s="121">
        <f t="shared" si="1"/>
        <v>0</v>
      </c>
      <c r="H13" s="76">
        <v>2</v>
      </c>
      <c r="I13" s="74">
        <f t="shared" si="2"/>
        <v>1.4524328249818446E-3</v>
      </c>
      <c r="J13" s="76">
        <v>1</v>
      </c>
      <c r="K13" s="75">
        <v>6.9783670621074664E-4</v>
      </c>
      <c r="L13" s="76">
        <v>1</v>
      </c>
      <c r="M13" s="171">
        <v>6.6666666666666664E-4</v>
      </c>
      <c r="N13" s="76">
        <v>0</v>
      </c>
      <c r="O13" s="75">
        <f t="shared" si="3"/>
        <v>0</v>
      </c>
      <c r="P13" s="220">
        <f t="shared" si="4"/>
        <v>-8.0840743734842356E-4</v>
      </c>
      <c r="T13" s="206"/>
    </row>
    <row r="14" spans="1:20" x14ac:dyDescent="0.2">
      <c r="A14" s="59" t="s">
        <v>15</v>
      </c>
      <c r="B14" s="60">
        <f>SUM(B4:B13)</f>
        <v>1237</v>
      </c>
      <c r="C14" s="61">
        <f t="shared" si="0"/>
        <v>1</v>
      </c>
      <c r="D14" s="39">
        <v>1371</v>
      </c>
      <c r="E14" s="140">
        <v>1</v>
      </c>
      <c r="F14" s="59">
        <f>SUM(F4:F13)</f>
        <v>1383</v>
      </c>
      <c r="G14" s="62">
        <f t="shared" si="1"/>
        <v>1</v>
      </c>
      <c r="H14" s="59">
        <f>SUM(H4:H13)</f>
        <v>1377</v>
      </c>
      <c r="I14" s="77">
        <f t="shared" si="2"/>
        <v>1</v>
      </c>
      <c r="J14" s="59">
        <f>SUM(J4:J13)</f>
        <v>1433</v>
      </c>
      <c r="K14" s="139">
        <v>1</v>
      </c>
      <c r="L14" s="59">
        <f>SUM(L4:L13)</f>
        <v>1500</v>
      </c>
      <c r="M14" s="139">
        <v>1</v>
      </c>
      <c r="N14" s="59">
        <v>1450</v>
      </c>
      <c r="O14" s="75">
        <f t="shared" si="3"/>
        <v>1</v>
      </c>
      <c r="P14" s="220">
        <f t="shared" si="4"/>
        <v>0</v>
      </c>
      <c r="T14" s="206"/>
    </row>
    <row r="15" spans="1:20" ht="24" x14ac:dyDescent="0.2">
      <c r="A15" s="120" t="s">
        <v>118</v>
      </c>
      <c r="B15" s="500">
        <f>(B14-B8)/B14</f>
        <v>0.24575586095392077</v>
      </c>
      <c r="C15" s="500"/>
      <c r="D15" s="500">
        <f t="shared" ref="D15" si="5">(D14-D8)/D14</f>
        <v>0.22465353756382203</v>
      </c>
      <c r="E15" s="500"/>
      <c r="F15" s="500">
        <f t="shared" ref="F15" si="6">(F14-F8)/F14</f>
        <v>0.21258134490238612</v>
      </c>
      <c r="G15" s="500"/>
      <c r="H15" s="500">
        <f>(H14-H8)/H14</f>
        <v>0.22803195352214961</v>
      </c>
      <c r="I15" s="500"/>
      <c r="J15" s="500">
        <f t="shared" ref="J15" si="7">(J14-J8)/J14</f>
        <v>0.25401256106071179</v>
      </c>
      <c r="K15" s="500"/>
      <c r="L15" s="500">
        <f t="shared" ref="L15" si="8">(L14-L8)/L14</f>
        <v>0.23733333333333334</v>
      </c>
      <c r="M15" s="500"/>
      <c r="N15" s="500">
        <v>0.24413793103448275</v>
      </c>
      <c r="O15" s="500"/>
      <c r="P15" s="21"/>
      <c r="T15" s="206"/>
    </row>
    <row r="16" spans="1:20" x14ac:dyDescent="0.2">
      <c r="A16" s="137" t="s">
        <v>123</v>
      </c>
      <c r="G16" s="2"/>
      <c r="M16" s="11"/>
      <c r="T16" s="206"/>
    </row>
    <row r="17" spans="20:20" x14ac:dyDescent="0.2">
      <c r="T17" s="206"/>
    </row>
    <row r="18" spans="20:20" x14ac:dyDescent="0.2">
      <c r="T18" s="206"/>
    </row>
  </sheetData>
  <mergeCells count="17">
    <mergeCell ref="N2:O2"/>
    <mergeCell ref="N15:O15"/>
    <mergeCell ref="J2:K2"/>
    <mergeCell ref="P2:P3"/>
    <mergeCell ref="A1:F1"/>
    <mergeCell ref="A2:A3"/>
    <mergeCell ref="B2:C2"/>
    <mergeCell ref="D2:E2"/>
    <mergeCell ref="F2:G2"/>
    <mergeCell ref="H2:I2"/>
    <mergeCell ref="L2:M2"/>
    <mergeCell ref="B15:C15"/>
    <mergeCell ref="D15:E15"/>
    <mergeCell ref="F15:G15"/>
    <mergeCell ref="H15:I15"/>
    <mergeCell ref="J15:K15"/>
    <mergeCell ref="L15:M15"/>
  </mergeCells>
  <pageMargins left="0.23622047244094491" right="0" top="0.35433070866141736" bottom="0.35433070866141736" header="0.31496062992125984" footer="0"/>
  <pageSetup paperSize="9" scale="76" orientation="landscape" r:id="rId1"/>
  <ignoredErrors>
    <ignoredError sqref="G14:I14" formula="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L26"/>
  <sheetViews>
    <sheetView showGridLines="0" zoomScaleNormal="100" workbookViewId="0">
      <selection activeCell="A2" sqref="A2"/>
    </sheetView>
  </sheetViews>
  <sheetFormatPr baseColWidth="10" defaultRowHeight="12.75" x14ac:dyDescent="0.2"/>
  <cols>
    <col min="1" max="1" width="25.28515625" style="158" customWidth="1"/>
    <col min="2" max="2" width="11.140625" style="158" customWidth="1"/>
    <col min="3" max="11" width="9.140625" style="158" customWidth="1"/>
    <col min="12" max="12" width="9.85546875" style="158" customWidth="1"/>
    <col min="13" max="16384" width="11.42578125" style="158"/>
  </cols>
  <sheetData>
    <row r="1" spans="1:12" x14ac:dyDescent="0.2">
      <c r="A1" s="511" t="s">
        <v>151</v>
      </c>
      <c r="B1" s="511"/>
      <c r="C1" s="511"/>
    </row>
    <row r="2" spans="1:12" x14ac:dyDescent="0.2">
      <c r="A2" s="375" t="s">
        <v>98</v>
      </c>
      <c r="B2" s="375" t="s">
        <v>17</v>
      </c>
      <c r="C2" s="376" t="s">
        <v>16</v>
      </c>
      <c r="G2" s="159"/>
    </row>
    <row r="3" spans="1:12" x14ac:dyDescent="0.2">
      <c r="A3" s="221" t="s">
        <v>18</v>
      </c>
      <c r="B3" s="278">
        <v>320</v>
      </c>
      <c r="C3" s="283">
        <f>B3/$B$10</f>
        <v>0.22068965517241379</v>
      </c>
      <c r="G3" s="159"/>
    </row>
    <row r="4" spans="1:12" x14ac:dyDescent="0.2">
      <c r="A4" s="221" t="s">
        <v>62</v>
      </c>
      <c r="B4" s="278">
        <v>373</v>
      </c>
      <c r="C4" s="283">
        <f t="shared" ref="C4:C12" si="0">B4/$B$10</f>
        <v>0.25724137931034485</v>
      </c>
      <c r="G4" s="159"/>
    </row>
    <row r="5" spans="1:12" x14ac:dyDescent="0.2">
      <c r="A5" s="160" t="s">
        <v>63</v>
      </c>
      <c r="B5" s="279">
        <v>224</v>
      </c>
      <c r="C5" s="283">
        <f t="shared" si="0"/>
        <v>0.15448275862068966</v>
      </c>
      <c r="G5" s="159"/>
    </row>
    <row r="6" spans="1:12" x14ac:dyDescent="0.2">
      <c r="A6" s="160" t="s">
        <v>64</v>
      </c>
      <c r="B6" s="279">
        <v>76</v>
      </c>
      <c r="C6" s="283">
        <f t="shared" si="0"/>
        <v>5.2413793103448278E-2</v>
      </c>
      <c r="G6" s="159"/>
    </row>
    <row r="7" spans="1:12" x14ac:dyDescent="0.2">
      <c r="A7" s="160" t="s">
        <v>65</v>
      </c>
      <c r="B7" s="279">
        <v>127</v>
      </c>
      <c r="C7" s="283">
        <f t="shared" si="0"/>
        <v>8.7586206896551722E-2</v>
      </c>
      <c r="G7" s="159"/>
    </row>
    <row r="8" spans="1:12" x14ac:dyDescent="0.2">
      <c r="A8" s="222" t="s">
        <v>66</v>
      </c>
      <c r="B8" s="279">
        <v>299</v>
      </c>
      <c r="C8" s="283">
        <f t="shared" si="0"/>
        <v>0.20620689655172414</v>
      </c>
      <c r="G8" s="159"/>
    </row>
    <row r="9" spans="1:12" ht="13.5" thickBot="1" x14ac:dyDescent="0.25">
      <c r="A9" s="161" t="s">
        <v>19</v>
      </c>
      <c r="B9" s="280">
        <v>31</v>
      </c>
      <c r="C9" s="283">
        <f t="shared" si="0"/>
        <v>2.1379310344827585E-2</v>
      </c>
      <c r="G9" s="159"/>
    </row>
    <row r="10" spans="1:12" x14ac:dyDescent="0.2">
      <c r="A10" s="162" t="s">
        <v>15</v>
      </c>
      <c r="B10" s="281">
        <f>SUM(B3:B9)</f>
        <v>1450</v>
      </c>
      <c r="C10" s="284">
        <f>SUM(C3:C9)</f>
        <v>1.0000000000000002</v>
      </c>
    </row>
    <row r="11" spans="1:12" ht="25.5" customHeight="1" x14ac:dyDescent="0.2">
      <c r="A11" s="289" t="s">
        <v>195</v>
      </c>
      <c r="B11" s="282">
        <f>B4+B7+B8</f>
        <v>799</v>
      </c>
      <c r="C11" s="283">
        <f t="shared" si="0"/>
        <v>0.55103448275862066</v>
      </c>
    </row>
    <row r="12" spans="1:12" x14ac:dyDescent="0.2">
      <c r="A12" s="277" t="s">
        <v>193</v>
      </c>
      <c r="B12" s="282">
        <f>+B10-B11-B9</f>
        <v>620</v>
      </c>
      <c r="C12" s="283">
        <f t="shared" si="0"/>
        <v>0.42758620689655175</v>
      </c>
    </row>
    <row r="13" spans="1:12" x14ac:dyDescent="0.2">
      <c r="A13" s="163" t="s">
        <v>123</v>
      </c>
      <c r="E13" s="164"/>
    </row>
    <row r="14" spans="1:12" x14ac:dyDescent="0.2">
      <c r="A14" s="163"/>
      <c r="E14" s="164"/>
    </row>
    <row r="15" spans="1:12" x14ac:dyDescent="0.2">
      <c r="A15" s="509" t="s">
        <v>165</v>
      </c>
      <c r="B15" s="510"/>
      <c r="C15" s="510"/>
      <c r="D15" s="165"/>
      <c r="E15" s="165"/>
      <c r="F15" s="165"/>
      <c r="G15" s="165"/>
      <c r="H15" s="165"/>
      <c r="I15" s="165"/>
      <c r="J15" s="165"/>
      <c r="K15" s="165"/>
      <c r="L15" s="166"/>
    </row>
    <row r="16" spans="1:12" x14ac:dyDescent="0.2">
      <c r="A16" s="509"/>
      <c r="B16" s="510"/>
      <c r="C16" s="510"/>
    </row>
    <row r="17" spans="1:6" x14ac:dyDescent="0.2">
      <c r="A17" s="508" t="s">
        <v>177</v>
      </c>
      <c r="B17" s="508"/>
      <c r="C17" s="508"/>
      <c r="D17" s="508"/>
      <c r="E17" s="248"/>
      <c r="F17" s="248"/>
    </row>
    <row r="18" spans="1:6" x14ac:dyDescent="0.2">
      <c r="A18" s="249"/>
      <c r="B18" s="250" t="s">
        <v>178</v>
      </c>
      <c r="C18" s="249"/>
      <c r="E18" s="249"/>
      <c r="F18" s="249"/>
    </row>
    <row r="19" spans="1:6" ht="36" x14ac:dyDescent="0.2">
      <c r="A19" s="287" t="s">
        <v>179</v>
      </c>
      <c r="B19" s="285" t="s">
        <v>186</v>
      </c>
    </row>
    <row r="20" spans="1:6" ht="24" x14ac:dyDescent="0.2">
      <c r="A20" s="251" t="s">
        <v>180</v>
      </c>
      <c r="B20" s="286">
        <v>78</v>
      </c>
    </row>
    <row r="21" spans="1:6" x14ac:dyDescent="0.2">
      <c r="A21" s="288" t="s">
        <v>181</v>
      </c>
      <c r="B21" s="252">
        <v>65</v>
      </c>
    </row>
    <row r="22" spans="1:6" x14ac:dyDescent="0.2">
      <c r="A22" s="288" t="s">
        <v>182</v>
      </c>
      <c r="B22" s="252">
        <v>10</v>
      </c>
    </row>
    <row r="23" spans="1:6" ht="48" x14ac:dyDescent="0.2">
      <c r="A23" s="253" t="s">
        <v>183</v>
      </c>
      <c r="B23" s="254">
        <v>3</v>
      </c>
    </row>
    <row r="24" spans="1:6" ht="24" x14ac:dyDescent="0.2">
      <c r="A24" s="255" t="s">
        <v>184</v>
      </c>
      <c r="B24" s="256">
        <v>22</v>
      </c>
    </row>
    <row r="25" spans="1:6" x14ac:dyDescent="0.2">
      <c r="A25" s="257" t="s">
        <v>185</v>
      </c>
      <c r="B25" s="258"/>
      <c r="C25" s="258"/>
      <c r="D25" s="258"/>
      <c r="E25" s="258"/>
      <c r="F25" s="258"/>
    </row>
    <row r="26" spans="1:6" x14ac:dyDescent="0.2">
      <c r="A26" s="290" t="s">
        <v>187</v>
      </c>
      <c r="B26" s="258"/>
      <c r="C26" s="258"/>
      <c r="D26" s="258"/>
      <c r="E26" s="258"/>
      <c r="F26" s="258"/>
    </row>
  </sheetData>
  <mergeCells count="3">
    <mergeCell ref="A17:D17"/>
    <mergeCell ref="A15:C16"/>
    <mergeCell ref="A1:C1"/>
  </mergeCells>
  <pageMargins left="0.23622047244094491" right="0" top="0.35433070866141736" bottom="0.35433070866141736" header="0.31496062992125984" footer="0"/>
  <pageSetup paperSize="9" scale="9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8"/>
  <sheetViews>
    <sheetView zoomScaleNormal="100" workbookViewId="0">
      <selection activeCell="A2" sqref="A2"/>
    </sheetView>
  </sheetViews>
  <sheetFormatPr baseColWidth="10" defaultColWidth="9.140625" defaultRowHeight="12.75" x14ac:dyDescent="0.2"/>
  <cols>
    <col min="1" max="1" width="19.140625" style="207" customWidth="1"/>
    <col min="2" max="3" width="7.140625" style="207" customWidth="1"/>
    <col min="4" max="4" width="10.85546875" style="207" customWidth="1"/>
    <col min="5" max="6" width="5" style="207" customWidth="1"/>
    <col min="7" max="7" width="11.42578125" style="207" customWidth="1"/>
    <col min="8" max="8" width="18.42578125" style="207" customWidth="1"/>
    <col min="9" max="15" width="7.140625" style="207" customWidth="1"/>
    <col min="16" max="16" width="11" style="207" customWidth="1"/>
    <col min="17" max="17" width="9.140625" style="207"/>
    <col min="18" max="18" width="10.140625" style="207" customWidth="1"/>
    <col min="19" max="256" width="9.140625" style="207"/>
    <col min="257" max="257" width="15.7109375" style="207" customWidth="1"/>
    <col min="258" max="263" width="11.42578125" style="207" customWidth="1"/>
    <col min="264" max="264" width="15.140625" style="207" customWidth="1"/>
    <col min="265" max="512" width="9.140625" style="207"/>
    <col min="513" max="513" width="15.7109375" style="207" customWidth="1"/>
    <col min="514" max="519" width="11.42578125" style="207" customWidth="1"/>
    <col min="520" max="520" width="15.140625" style="207" customWidth="1"/>
    <col min="521" max="768" width="9.140625" style="207"/>
    <col min="769" max="769" width="15.7109375" style="207" customWidth="1"/>
    <col min="770" max="775" width="11.42578125" style="207" customWidth="1"/>
    <col min="776" max="776" width="15.140625" style="207" customWidth="1"/>
    <col min="777" max="1024" width="9.140625" style="207"/>
    <col min="1025" max="1025" width="15.7109375" style="207" customWidth="1"/>
    <col min="1026" max="1031" width="11.42578125" style="207" customWidth="1"/>
    <col min="1032" max="1032" width="15.140625" style="207" customWidth="1"/>
    <col min="1033" max="1280" width="9.140625" style="207"/>
    <col min="1281" max="1281" width="15.7109375" style="207" customWidth="1"/>
    <col min="1282" max="1287" width="11.42578125" style="207" customWidth="1"/>
    <col min="1288" max="1288" width="15.140625" style="207" customWidth="1"/>
    <col min="1289" max="1536" width="9.140625" style="207"/>
    <col min="1537" max="1537" width="15.7109375" style="207" customWidth="1"/>
    <col min="1538" max="1543" width="11.42578125" style="207" customWidth="1"/>
    <col min="1544" max="1544" width="15.140625" style="207" customWidth="1"/>
    <col min="1545" max="1792" width="9.140625" style="207"/>
    <col min="1793" max="1793" width="15.7109375" style="207" customWidth="1"/>
    <col min="1794" max="1799" width="11.42578125" style="207" customWidth="1"/>
    <col min="1800" max="1800" width="15.140625" style="207" customWidth="1"/>
    <col min="1801" max="2048" width="9.140625" style="207"/>
    <col min="2049" max="2049" width="15.7109375" style="207" customWidth="1"/>
    <col min="2050" max="2055" width="11.42578125" style="207" customWidth="1"/>
    <col min="2056" max="2056" width="15.140625" style="207" customWidth="1"/>
    <col min="2057" max="2304" width="9.140625" style="207"/>
    <col min="2305" max="2305" width="15.7109375" style="207" customWidth="1"/>
    <col min="2306" max="2311" width="11.42578125" style="207" customWidth="1"/>
    <col min="2312" max="2312" width="15.140625" style="207" customWidth="1"/>
    <col min="2313" max="2560" width="9.140625" style="207"/>
    <col min="2561" max="2561" width="15.7109375" style="207" customWidth="1"/>
    <col min="2562" max="2567" width="11.42578125" style="207" customWidth="1"/>
    <col min="2568" max="2568" width="15.140625" style="207" customWidth="1"/>
    <col min="2569" max="2816" width="9.140625" style="207"/>
    <col min="2817" max="2817" width="15.7109375" style="207" customWidth="1"/>
    <col min="2818" max="2823" width="11.42578125" style="207" customWidth="1"/>
    <col min="2824" max="2824" width="15.140625" style="207" customWidth="1"/>
    <col min="2825" max="3072" width="9.140625" style="207"/>
    <col min="3073" max="3073" width="15.7109375" style="207" customWidth="1"/>
    <col min="3074" max="3079" width="11.42578125" style="207" customWidth="1"/>
    <col min="3080" max="3080" width="15.140625" style="207" customWidth="1"/>
    <col min="3081" max="3328" width="9.140625" style="207"/>
    <col min="3329" max="3329" width="15.7109375" style="207" customWidth="1"/>
    <col min="3330" max="3335" width="11.42578125" style="207" customWidth="1"/>
    <col min="3336" max="3336" width="15.140625" style="207" customWidth="1"/>
    <col min="3337" max="3584" width="9.140625" style="207"/>
    <col min="3585" max="3585" width="15.7109375" style="207" customWidth="1"/>
    <col min="3586" max="3591" width="11.42578125" style="207" customWidth="1"/>
    <col min="3592" max="3592" width="15.140625" style="207" customWidth="1"/>
    <col min="3593" max="3840" width="9.140625" style="207"/>
    <col min="3841" max="3841" width="15.7109375" style="207" customWidth="1"/>
    <col min="3842" max="3847" width="11.42578125" style="207" customWidth="1"/>
    <col min="3848" max="3848" width="15.140625" style="207" customWidth="1"/>
    <col min="3849" max="4096" width="9.140625" style="207"/>
    <col min="4097" max="4097" width="15.7109375" style="207" customWidth="1"/>
    <col min="4098" max="4103" width="11.42578125" style="207" customWidth="1"/>
    <col min="4104" max="4104" width="15.140625" style="207" customWidth="1"/>
    <col min="4105" max="4352" width="9.140625" style="207"/>
    <col min="4353" max="4353" width="15.7109375" style="207" customWidth="1"/>
    <col min="4354" max="4359" width="11.42578125" style="207" customWidth="1"/>
    <col min="4360" max="4360" width="15.140625" style="207" customWidth="1"/>
    <col min="4361" max="4608" width="9.140625" style="207"/>
    <col min="4609" max="4609" width="15.7109375" style="207" customWidth="1"/>
    <col min="4610" max="4615" width="11.42578125" style="207" customWidth="1"/>
    <col min="4616" max="4616" width="15.140625" style="207" customWidth="1"/>
    <col min="4617" max="4864" width="9.140625" style="207"/>
    <col min="4865" max="4865" width="15.7109375" style="207" customWidth="1"/>
    <col min="4866" max="4871" width="11.42578125" style="207" customWidth="1"/>
    <col min="4872" max="4872" width="15.140625" style="207" customWidth="1"/>
    <col min="4873" max="5120" width="9.140625" style="207"/>
    <col min="5121" max="5121" width="15.7109375" style="207" customWidth="1"/>
    <col min="5122" max="5127" width="11.42578125" style="207" customWidth="1"/>
    <col min="5128" max="5128" width="15.140625" style="207" customWidth="1"/>
    <col min="5129" max="5376" width="9.140625" style="207"/>
    <col min="5377" max="5377" width="15.7109375" style="207" customWidth="1"/>
    <col min="5378" max="5383" width="11.42578125" style="207" customWidth="1"/>
    <col min="5384" max="5384" width="15.140625" style="207" customWidth="1"/>
    <col min="5385" max="5632" width="9.140625" style="207"/>
    <col min="5633" max="5633" width="15.7109375" style="207" customWidth="1"/>
    <col min="5634" max="5639" width="11.42578125" style="207" customWidth="1"/>
    <col min="5640" max="5640" width="15.140625" style="207" customWidth="1"/>
    <col min="5641" max="5888" width="9.140625" style="207"/>
    <col min="5889" max="5889" width="15.7109375" style="207" customWidth="1"/>
    <col min="5890" max="5895" width="11.42578125" style="207" customWidth="1"/>
    <col min="5896" max="5896" width="15.140625" style="207" customWidth="1"/>
    <col min="5897" max="6144" width="9.140625" style="207"/>
    <col min="6145" max="6145" width="15.7109375" style="207" customWidth="1"/>
    <col min="6146" max="6151" width="11.42578125" style="207" customWidth="1"/>
    <col min="6152" max="6152" width="15.140625" style="207" customWidth="1"/>
    <col min="6153" max="6400" width="9.140625" style="207"/>
    <col min="6401" max="6401" width="15.7109375" style="207" customWidth="1"/>
    <col min="6402" max="6407" width="11.42578125" style="207" customWidth="1"/>
    <col min="6408" max="6408" width="15.140625" style="207" customWidth="1"/>
    <col min="6409" max="6656" width="9.140625" style="207"/>
    <col min="6657" max="6657" width="15.7109375" style="207" customWidth="1"/>
    <col min="6658" max="6663" width="11.42578125" style="207" customWidth="1"/>
    <col min="6664" max="6664" width="15.140625" style="207" customWidth="1"/>
    <col min="6665" max="6912" width="9.140625" style="207"/>
    <col min="6913" max="6913" width="15.7109375" style="207" customWidth="1"/>
    <col min="6914" max="6919" width="11.42578125" style="207" customWidth="1"/>
    <col min="6920" max="6920" width="15.140625" style="207" customWidth="1"/>
    <col min="6921" max="7168" width="9.140625" style="207"/>
    <col min="7169" max="7169" width="15.7109375" style="207" customWidth="1"/>
    <col min="7170" max="7175" width="11.42578125" style="207" customWidth="1"/>
    <col min="7176" max="7176" width="15.140625" style="207" customWidth="1"/>
    <col min="7177" max="7424" width="9.140625" style="207"/>
    <col min="7425" max="7425" width="15.7109375" style="207" customWidth="1"/>
    <col min="7426" max="7431" width="11.42578125" style="207" customWidth="1"/>
    <col min="7432" max="7432" width="15.140625" style="207" customWidth="1"/>
    <col min="7433" max="7680" width="9.140625" style="207"/>
    <col min="7681" max="7681" width="15.7109375" style="207" customWidth="1"/>
    <col min="7682" max="7687" width="11.42578125" style="207" customWidth="1"/>
    <col min="7688" max="7688" width="15.140625" style="207" customWidth="1"/>
    <col min="7689" max="7936" width="9.140625" style="207"/>
    <col min="7937" max="7937" width="15.7109375" style="207" customWidth="1"/>
    <col min="7938" max="7943" width="11.42578125" style="207" customWidth="1"/>
    <col min="7944" max="7944" width="15.140625" style="207" customWidth="1"/>
    <col min="7945" max="8192" width="9.140625" style="207"/>
    <col min="8193" max="8193" width="15.7109375" style="207" customWidth="1"/>
    <col min="8194" max="8199" width="11.42578125" style="207" customWidth="1"/>
    <col min="8200" max="8200" width="15.140625" style="207" customWidth="1"/>
    <col min="8201" max="8448" width="9.140625" style="207"/>
    <col min="8449" max="8449" width="15.7109375" style="207" customWidth="1"/>
    <col min="8450" max="8455" width="11.42578125" style="207" customWidth="1"/>
    <col min="8456" max="8456" width="15.140625" style="207" customWidth="1"/>
    <col min="8457" max="8704" width="9.140625" style="207"/>
    <col min="8705" max="8705" width="15.7109375" style="207" customWidth="1"/>
    <col min="8706" max="8711" width="11.42578125" style="207" customWidth="1"/>
    <col min="8712" max="8712" width="15.140625" style="207" customWidth="1"/>
    <col min="8713" max="8960" width="9.140625" style="207"/>
    <col min="8961" max="8961" width="15.7109375" style="207" customWidth="1"/>
    <col min="8962" max="8967" width="11.42578125" style="207" customWidth="1"/>
    <col min="8968" max="8968" width="15.140625" style="207" customWidth="1"/>
    <col min="8969" max="9216" width="9.140625" style="207"/>
    <col min="9217" max="9217" width="15.7109375" style="207" customWidth="1"/>
    <col min="9218" max="9223" width="11.42578125" style="207" customWidth="1"/>
    <col min="9224" max="9224" width="15.140625" style="207" customWidth="1"/>
    <col min="9225" max="9472" width="9.140625" style="207"/>
    <col min="9473" max="9473" width="15.7109375" style="207" customWidth="1"/>
    <col min="9474" max="9479" width="11.42578125" style="207" customWidth="1"/>
    <col min="9480" max="9480" width="15.140625" style="207" customWidth="1"/>
    <col min="9481" max="9728" width="9.140625" style="207"/>
    <col min="9729" max="9729" width="15.7109375" style="207" customWidth="1"/>
    <col min="9730" max="9735" width="11.42578125" style="207" customWidth="1"/>
    <col min="9736" max="9736" width="15.140625" style="207" customWidth="1"/>
    <col min="9737" max="9984" width="9.140625" style="207"/>
    <col min="9985" max="9985" width="15.7109375" style="207" customWidth="1"/>
    <col min="9986" max="9991" width="11.42578125" style="207" customWidth="1"/>
    <col min="9992" max="9992" width="15.140625" style="207" customWidth="1"/>
    <col min="9993" max="10240" width="9.140625" style="207"/>
    <col min="10241" max="10241" width="15.7109375" style="207" customWidth="1"/>
    <col min="10242" max="10247" width="11.42578125" style="207" customWidth="1"/>
    <col min="10248" max="10248" width="15.140625" style="207" customWidth="1"/>
    <col min="10249" max="10496" width="9.140625" style="207"/>
    <col min="10497" max="10497" width="15.7109375" style="207" customWidth="1"/>
    <col min="10498" max="10503" width="11.42578125" style="207" customWidth="1"/>
    <col min="10504" max="10504" width="15.140625" style="207" customWidth="1"/>
    <col min="10505" max="10752" width="9.140625" style="207"/>
    <col min="10753" max="10753" width="15.7109375" style="207" customWidth="1"/>
    <col min="10754" max="10759" width="11.42578125" style="207" customWidth="1"/>
    <col min="10760" max="10760" width="15.140625" style="207" customWidth="1"/>
    <col min="10761" max="11008" width="9.140625" style="207"/>
    <col min="11009" max="11009" width="15.7109375" style="207" customWidth="1"/>
    <col min="11010" max="11015" width="11.42578125" style="207" customWidth="1"/>
    <col min="11016" max="11016" width="15.140625" style="207" customWidth="1"/>
    <col min="11017" max="11264" width="9.140625" style="207"/>
    <col min="11265" max="11265" width="15.7109375" style="207" customWidth="1"/>
    <col min="11266" max="11271" width="11.42578125" style="207" customWidth="1"/>
    <col min="11272" max="11272" width="15.140625" style="207" customWidth="1"/>
    <col min="11273" max="11520" width="9.140625" style="207"/>
    <col min="11521" max="11521" width="15.7109375" style="207" customWidth="1"/>
    <col min="11522" max="11527" width="11.42578125" style="207" customWidth="1"/>
    <col min="11528" max="11528" width="15.140625" style="207" customWidth="1"/>
    <col min="11529" max="11776" width="9.140625" style="207"/>
    <col min="11777" max="11777" width="15.7109375" style="207" customWidth="1"/>
    <col min="11778" max="11783" width="11.42578125" style="207" customWidth="1"/>
    <col min="11784" max="11784" width="15.140625" style="207" customWidth="1"/>
    <col min="11785" max="12032" width="9.140625" style="207"/>
    <col min="12033" max="12033" width="15.7109375" style="207" customWidth="1"/>
    <col min="12034" max="12039" width="11.42578125" style="207" customWidth="1"/>
    <col min="12040" max="12040" width="15.140625" style="207" customWidth="1"/>
    <col min="12041" max="12288" width="9.140625" style="207"/>
    <col min="12289" max="12289" width="15.7109375" style="207" customWidth="1"/>
    <col min="12290" max="12295" width="11.42578125" style="207" customWidth="1"/>
    <col min="12296" max="12296" width="15.140625" style="207" customWidth="1"/>
    <col min="12297" max="12544" width="9.140625" style="207"/>
    <col min="12545" max="12545" width="15.7109375" style="207" customWidth="1"/>
    <col min="12546" max="12551" width="11.42578125" style="207" customWidth="1"/>
    <col min="12552" max="12552" width="15.140625" style="207" customWidth="1"/>
    <col min="12553" max="12800" width="9.140625" style="207"/>
    <col min="12801" max="12801" width="15.7109375" style="207" customWidth="1"/>
    <col min="12802" max="12807" width="11.42578125" style="207" customWidth="1"/>
    <col min="12808" max="12808" width="15.140625" style="207" customWidth="1"/>
    <col min="12809" max="13056" width="9.140625" style="207"/>
    <col min="13057" max="13057" width="15.7109375" style="207" customWidth="1"/>
    <col min="13058" max="13063" width="11.42578125" style="207" customWidth="1"/>
    <col min="13064" max="13064" width="15.140625" style="207" customWidth="1"/>
    <col min="13065" max="13312" width="9.140625" style="207"/>
    <col min="13313" max="13313" width="15.7109375" style="207" customWidth="1"/>
    <col min="13314" max="13319" width="11.42578125" style="207" customWidth="1"/>
    <col min="13320" max="13320" width="15.140625" style="207" customWidth="1"/>
    <col min="13321" max="13568" width="9.140625" style="207"/>
    <col min="13569" max="13569" width="15.7109375" style="207" customWidth="1"/>
    <col min="13570" max="13575" width="11.42578125" style="207" customWidth="1"/>
    <col min="13576" max="13576" width="15.140625" style="207" customWidth="1"/>
    <col min="13577" max="13824" width="9.140625" style="207"/>
    <col min="13825" max="13825" width="15.7109375" style="207" customWidth="1"/>
    <col min="13826" max="13831" width="11.42578125" style="207" customWidth="1"/>
    <col min="13832" max="13832" width="15.140625" style="207" customWidth="1"/>
    <col min="13833" max="14080" width="9.140625" style="207"/>
    <col min="14081" max="14081" width="15.7109375" style="207" customWidth="1"/>
    <col min="14082" max="14087" width="11.42578125" style="207" customWidth="1"/>
    <col min="14088" max="14088" width="15.140625" style="207" customWidth="1"/>
    <col min="14089" max="14336" width="9.140625" style="207"/>
    <col min="14337" max="14337" width="15.7109375" style="207" customWidth="1"/>
    <col min="14338" max="14343" width="11.42578125" style="207" customWidth="1"/>
    <col min="14344" max="14344" width="15.140625" style="207" customWidth="1"/>
    <col min="14345" max="14592" width="9.140625" style="207"/>
    <col min="14593" max="14593" width="15.7109375" style="207" customWidth="1"/>
    <col min="14594" max="14599" width="11.42578125" style="207" customWidth="1"/>
    <col min="14600" max="14600" width="15.140625" style="207" customWidth="1"/>
    <col min="14601" max="14848" width="9.140625" style="207"/>
    <col min="14849" max="14849" width="15.7109375" style="207" customWidth="1"/>
    <col min="14850" max="14855" width="11.42578125" style="207" customWidth="1"/>
    <col min="14856" max="14856" width="15.140625" style="207" customWidth="1"/>
    <col min="14857" max="15104" width="9.140625" style="207"/>
    <col min="15105" max="15105" width="15.7109375" style="207" customWidth="1"/>
    <col min="15106" max="15111" width="11.42578125" style="207" customWidth="1"/>
    <col min="15112" max="15112" width="15.140625" style="207" customWidth="1"/>
    <col min="15113" max="15360" width="9.140625" style="207"/>
    <col min="15361" max="15361" width="15.7109375" style="207" customWidth="1"/>
    <col min="15362" max="15367" width="11.42578125" style="207" customWidth="1"/>
    <col min="15368" max="15368" width="15.140625" style="207" customWidth="1"/>
    <col min="15369" max="15616" width="9.140625" style="207"/>
    <col min="15617" max="15617" width="15.7109375" style="207" customWidth="1"/>
    <col min="15618" max="15623" width="11.42578125" style="207" customWidth="1"/>
    <col min="15624" max="15624" width="15.140625" style="207" customWidth="1"/>
    <col min="15625" max="15872" width="9.140625" style="207"/>
    <col min="15873" max="15873" width="15.7109375" style="207" customWidth="1"/>
    <col min="15874" max="15879" width="11.42578125" style="207" customWidth="1"/>
    <col min="15880" max="15880" width="15.140625" style="207" customWidth="1"/>
    <col min="15881" max="16128" width="9.140625" style="207"/>
    <col min="16129" max="16129" width="15.7109375" style="207" customWidth="1"/>
    <col min="16130" max="16135" width="11.42578125" style="207" customWidth="1"/>
    <col min="16136" max="16136" width="15.140625" style="207" customWidth="1"/>
    <col min="16137" max="16384" width="9.140625" style="207"/>
  </cols>
  <sheetData>
    <row r="1" spans="1:18" ht="15.75" customHeight="1" x14ac:dyDescent="0.2">
      <c r="A1" s="298" t="s">
        <v>215</v>
      </c>
      <c r="B1" s="298"/>
      <c r="C1" s="298"/>
      <c r="D1" s="298"/>
      <c r="E1" s="298"/>
      <c r="F1" s="298"/>
      <c r="G1" s="298"/>
      <c r="H1" s="298" t="s">
        <v>214</v>
      </c>
      <c r="I1" s="298"/>
      <c r="J1" s="298"/>
      <c r="K1" s="298"/>
      <c r="L1" s="298"/>
      <c r="M1" s="298"/>
      <c r="N1" s="298"/>
      <c r="O1" s="298"/>
      <c r="P1" s="298" t="s">
        <v>241</v>
      </c>
    </row>
    <row r="2" spans="1:18" ht="24.75" thickBot="1" x14ac:dyDescent="0.25">
      <c r="A2" s="408" t="s">
        <v>200</v>
      </c>
      <c r="B2" s="403">
        <v>2013</v>
      </c>
      <c r="C2" s="403">
        <v>2019</v>
      </c>
      <c r="D2" s="404" t="s">
        <v>212</v>
      </c>
    </row>
    <row r="3" spans="1:18" ht="39" thickBot="1" x14ac:dyDescent="0.25">
      <c r="A3" s="307" t="s">
        <v>218</v>
      </c>
      <c r="B3" s="321">
        <f t="shared" ref="B3:D3" si="0">P4</f>
        <v>0.12449474535165723</v>
      </c>
      <c r="C3" s="321">
        <f t="shared" si="0"/>
        <v>0.10689655172413794</v>
      </c>
      <c r="D3" s="322">
        <f t="shared" si="0"/>
        <v>-1.7598193627519298</v>
      </c>
      <c r="H3" s="405" t="s">
        <v>199</v>
      </c>
      <c r="I3" s="409">
        <v>2013</v>
      </c>
      <c r="J3" s="410">
        <v>2014</v>
      </c>
      <c r="K3" s="410">
        <v>2015</v>
      </c>
      <c r="L3" s="410">
        <v>2016</v>
      </c>
      <c r="M3" s="411">
        <v>2017</v>
      </c>
      <c r="N3" s="411">
        <v>2018</v>
      </c>
      <c r="O3" s="412">
        <v>2019</v>
      </c>
      <c r="P3" s="422">
        <v>2013</v>
      </c>
      <c r="Q3" s="423">
        <v>2019</v>
      </c>
      <c r="R3" s="406" t="s">
        <v>260</v>
      </c>
    </row>
    <row r="4" spans="1:18" x14ac:dyDescent="0.2">
      <c r="A4" s="301" t="s">
        <v>161</v>
      </c>
      <c r="B4" s="299">
        <f t="shared" ref="B4:B9" si="1">I12</f>
        <v>28028</v>
      </c>
      <c r="C4" s="299">
        <f t="shared" ref="C4:C9" si="2">O12</f>
        <v>30000</v>
      </c>
      <c r="D4" s="302">
        <f>C4/B4-1</f>
        <v>7.035821321535618E-2</v>
      </c>
      <c r="G4" s="209"/>
      <c r="H4" s="392">
        <v>23484</v>
      </c>
      <c r="I4" s="389">
        <v>154</v>
      </c>
      <c r="J4" s="210">
        <v>168</v>
      </c>
      <c r="K4" s="210">
        <v>168</v>
      </c>
      <c r="L4" s="210">
        <v>186</v>
      </c>
      <c r="M4" s="211">
        <v>156</v>
      </c>
      <c r="N4" s="211">
        <v>158</v>
      </c>
      <c r="O4" s="212">
        <v>155</v>
      </c>
      <c r="P4" s="424">
        <f>I4/I$9</f>
        <v>0.12449474535165723</v>
      </c>
      <c r="Q4" s="425">
        <f>O4/$O$9</f>
        <v>0.10689655172413794</v>
      </c>
      <c r="R4" s="384">
        <f>(Q4-P4)*100</f>
        <v>-1.7598193627519298</v>
      </c>
    </row>
    <row r="5" spans="1:18" x14ac:dyDescent="0.2">
      <c r="A5" s="300" t="s">
        <v>216</v>
      </c>
      <c r="B5" s="303">
        <f t="shared" si="1"/>
        <v>28383</v>
      </c>
      <c r="C5" s="303">
        <f t="shared" si="2"/>
        <v>30329</v>
      </c>
      <c r="D5" s="133">
        <f t="shared" ref="D5:D9" si="3">C5/B5-1</f>
        <v>6.8562167494627069E-2</v>
      </c>
      <c r="G5" s="209"/>
      <c r="H5" s="393" t="s">
        <v>152</v>
      </c>
      <c r="I5" s="390">
        <v>462</v>
      </c>
      <c r="J5" s="208">
        <v>490</v>
      </c>
      <c r="K5" s="208">
        <v>498</v>
      </c>
      <c r="L5" s="208">
        <v>439</v>
      </c>
      <c r="M5" s="213">
        <v>435</v>
      </c>
      <c r="N5" s="213">
        <v>451</v>
      </c>
      <c r="O5" s="214">
        <v>387</v>
      </c>
      <c r="P5" s="424">
        <f>I5/I$9</f>
        <v>0.37348423605497172</v>
      </c>
      <c r="Q5" s="425">
        <f>O5/$O$9</f>
        <v>0.26689655172413795</v>
      </c>
      <c r="R5" s="384">
        <f>(Q5-P5)*100</f>
        <v>-10.658768433083377</v>
      </c>
    </row>
    <row r="6" spans="1:18" x14ac:dyDescent="0.2">
      <c r="A6" s="300" t="s">
        <v>217</v>
      </c>
      <c r="B6" s="303">
        <f t="shared" si="1"/>
        <v>27339</v>
      </c>
      <c r="C6" s="303">
        <f t="shared" si="2"/>
        <v>29000</v>
      </c>
      <c r="D6" s="133">
        <f t="shared" si="3"/>
        <v>6.0755696989648555E-2</v>
      </c>
      <c r="G6" s="209"/>
      <c r="H6" s="393" t="s">
        <v>153</v>
      </c>
      <c r="I6" s="390">
        <v>248</v>
      </c>
      <c r="J6" s="208">
        <v>258</v>
      </c>
      <c r="K6" s="208">
        <v>203</v>
      </c>
      <c r="L6" s="208">
        <v>165</v>
      </c>
      <c r="M6" s="213">
        <v>169</v>
      </c>
      <c r="N6" s="213">
        <v>159</v>
      </c>
      <c r="O6" s="214">
        <v>84</v>
      </c>
      <c r="P6" s="424">
        <f>I6/I$9</f>
        <v>0.20048504446240906</v>
      </c>
      <c r="Q6" s="425">
        <f>O6/$O$9</f>
        <v>5.7931034482758624E-2</v>
      </c>
      <c r="R6" s="384">
        <f>(Q6-P6)*100</f>
        <v>-14.255400997965042</v>
      </c>
    </row>
    <row r="7" spans="1:18" x14ac:dyDescent="0.2">
      <c r="A7" s="304" t="s">
        <v>197</v>
      </c>
      <c r="B7" s="305">
        <f t="shared" si="1"/>
        <v>0.96321741887749712</v>
      </c>
      <c r="C7" s="305">
        <f t="shared" si="2"/>
        <v>0.95618055326585116</v>
      </c>
      <c r="D7" s="306">
        <f>(C7-B7)</f>
        <v>-7.0368656116459594E-3</v>
      </c>
      <c r="G7" s="209"/>
      <c r="H7" s="393" t="s">
        <v>154</v>
      </c>
      <c r="I7" s="390">
        <v>306</v>
      </c>
      <c r="J7" s="208">
        <v>330</v>
      </c>
      <c r="K7" s="208">
        <v>397</v>
      </c>
      <c r="L7" s="208">
        <v>465</v>
      </c>
      <c r="M7" s="213">
        <v>534</v>
      </c>
      <c r="N7" s="213">
        <v>553</v>
      </c>
      <c r="O7" s="214">
        <v>595</v>
      </c>
      <c r="P7" s="424">
        <f>I7/I$9</f>
        <v>0.24737267582861763</v>
      </c>
      <c r="Q7" s="425">
        <f>O7/$O$9</f>
        <v>0.41034482758620688</v>
      </c>
      <c r="R7" s="384">
        <f>(Q7-P7)*100</f>
        <v>16.297215175758925</v>
      </c>
    </row>
    <row r="8" spans="1:18" x14ac:dyDescent="0.2">
      <c r="A8" s="300" t="s">
        <v>198</v>
      </c>
      <c r="B8" s="303">
        <f t="shared" si="1"/>
        <v>28600</v>
      </c>
      <c r="C8" s="303">
        <f t="shared" si="2"/>
        <v>30232</v>
      </c>
      <c r="D8" s="133">
        <f t="shared" si="3"/>
        <v>5.7062937062936969E-2</v>
      </c>
      <c r="G8" s="209"/>
      <c r="H8" s="393" t="s">
        <v>155</v>
      </c>
      <c r="I8" s="390">
        <v>67</v>
      </c>
      <c r="J8" s="208">
        <v>106</v>
      </c>
      <c r="K8" s="208">
        <v>117</v>
      </c>
      <c r="L8" s="208">
        <v>122</v>
      </c>
      <c r="M8" s="213">
        <v>139</v>
      </c>
      <c r="N8" s="213">
        <v>179</v>
      </c>
      <c r="O8" s="214">
        <v>229</v>
      </c>
      <c r="P8" s="424">
        <f>I8/I$9</f>
        <v>5.4163298302344384E-2</v>
      </c>
      <c r="Q8" s="425">
        <f>O8/$O$9</f>
        <v>0.15793103448275861</v>
      </c>
      <c r="R8" s="384">
        <f>(Q8-P8)*100</f>
        <v>10.376773618041423</v>
      </c>
    </row>
    <row r="9" spans="1:18" ht="24.75" thickBot="1" x14ac:dyDescent="0.25">
      <c r="A9" s="307" t="s">
        <v>213</v>
      </c>
      <c r="B9" s="308">
        <f t="shared" si="1"/>
        <v>29327.482917820867</v>
      </c>
      <c r="C9" s="308">
        <f t="shared" si="2"/>
        <v>33831.590733590732</v>
      </c>
      <c r="D9" s="309">
        <f t="shared" si="3"/>
        <v>0.15357976094951331</v>
      </c>
      <c r="E9" s="239"/>
      <c r="F9" s="240"/>
      <c r="G9" s="209"/>
      <c r="H9" s="394" t="s">
        <v>196</v>
      </c>
      <c r="I9" s="391">
        <f t="shared" ref="I9:O9" si="4">SUM(I4:I8)</f>
        <v>1237</v>
      </c>
      <c r="J9" s="386">
        <f t="shared" si="4"/>
        <v>1352</v>
      </c>
      <c r="K9" s="386">
        <f t="shared" si="4"/>
        <v>1383</v>
      </c>
      <c r="L9" s="386">
        <f t="shared" si="4"/>
        <v>1377</v>
      </c>
      <c r="M9" s="387">
        <f t="shared" si="4"/>
        <v>1433</v>
      </c>
      <c r="N9" s="387">
        <f t="shared" si="4"/>
        <v>1500</v>
      </c>
      <c r="O9" s="388">
        <f t="shared" si="4"/>
        <v>1450</v>
      </c>
      <c r="P9" s="426">
        <f>SUM(P4:P8)</f>
        <v>1</v>
      </c>
      <c r="Q9" s="426">
        <f>SUM(Q4:Q8)</f>
        <v>0.99999999999999989</v>
      </c>
      <c r="R9" s="385"/>
    </row>
    <row r="10" spans="1:18" ht="13.5" thickBot="1" x14ac:dyDescent="0.25">
      <c r="A10" s="339" t="s">
        <v>123</v>
      </c>
      <c r="E10" s="239"/>
      <c r="F10" s="240"/>
      <c r="G10" s="240"/>
      <c r="H10" s="378"/>
      <c r="I10" s="239"/>
      <c r="J10" s="239"/>
      <c r="K10" s="239"/>
      <c r="L10" s="239"/>
      <c r="M10" s="239"/>
      <c r="N10" s="239"/>
      <c r="O10" s="239"/>
      <c r="P10" s="377"/>
      <c r="Q10" s="377"/>
    </row>
    <row r="11" spans="1:18" ht="26.25" thickBot="1" x14ac:dyDescent="0.25">
      <c r="E11" s="239"/>
      <c r="F11" s="240"/>
      <c r="G11" s="240"/>
      <c r="H11" s="407" t="s">
        <v>200</v>
      </c>
      <c r="I11" s="409">
        <v>2013</v>
      </c>
      <c r="J11" s="410">
        <v>2014</v>
      </c>
      <c r="K11" s="410">
        <v>2015</v>
      </c>
      <c r="L11" s="410">
        <v>2016</v>
      </c>
      <c r="M11" s="411">
        <v>2017</v>
      </c>
      <c r="N11" s="411">
        <v>2018</v>
      </c>
      <c r="O11" s="412">
        <v>2019</v>
      </c>
      <c r="P11" s="413" t="s">
        <v>212</v>
      </c>
    </row>
    <row r="12" spans="1:18" x14ac:dyDescent="0.2">
      <c r="E12" s="239"/>
      <c r="F12" s="240"/>
      <c r="G12" s="209"/>
      <c r="H12" s="399" t="s">
        <v>161</v>
      </c>
      <c r="I12" s="395">
        <v>28028</v>
      </c>
      <c r="J12" s="379">
        <v>28275</v>
      </c>
      <c r="K12" s="379">
        <v>28496</v>
      </c>
      <c r="L12" s="379">
        <v>28932</v>
      </c>
      <c r="M12" s="380">
        <v>29604</v>
      </c>
      <c r="N12" s="380">
        <v>29558</v>
      </c>
      <c r="O12" s="380">
        <v>30000</v>
      </c>
      <c r="P12" s="381">
        <f>O12/I12-1</f>
        <v>7.035821321535618E-2</v>
      </c>
    </row>
    <row r="13" spans="1:18" x14ac:dyDescent="0.2">
      <c r="E13" s="239"/>
      <c r="F13" s="240"/>
      <c r="G13" s="209"/>
      <c r="H13" s="400" t="s">
        <v>162</v>
      </c>
      <c r="I13" s="396">
        <v>28383</v>
      </c>
      <c r="J13" s="291">
        <v>28668</v>
      </c>
      <c r="K13" s="291">
        <v>28736</v>
      </c>
      <c r="L13" s="291">
        <v>29738</v>
      </c>
      <c r="M13" s="241">
        <v>30000</v>
      </c>
      <c r="N13" s="241">
        <v>30000</v>
      </c>
      <c r="O13" s="241">
        <v>30329</v>
      </c>
      <c r="P13" s="382">
        <f t="shared" ref="P13:P17" si="5">O13/I13-1</f>
        <v>6.8562167494627069E-2</v>
      </c>
    </row>
    <row r="14" spans="1:18" x14ac:dyDescent="0.2">
      <c r="E14" s="239"/>
      <c r="F14" s="240"/>
      <c r="G14" s="209"/>
      <c r="H14" s="400" t="s">
        <v>163</v>
      </c>
      <c r="I14" s="396">
        <v>27339</v>
      </c>
      <c r="J14" s="291">
        <v>27000</v>
      </c>
      <c r="K14" s="291">
        <v>28000</v>
      </c>
      <c r="L14" s="291">
        <v>27968</v>
      </c>
      <c r="M14" s="241">
        <v>28700</v>
      </c>
      <c r="N14" s="241">
        <v>28000</v>
      </c>
      <c r="O14" s="241">
        <v>29000</v>
      </c>
      <c r="P14" s="382">
        <f t="shared" si="5"/>
        <v>6.0755696989648555E-2</v>
      </c>
    </row>
    <row r="15" spans="1:18" x14ac:dyDescent="0.2">
      <c r="F15" s="209"/>
      <c r="G15" s="209"/>
      <c r="H15" s="401" t="s">
        <v>197</v>
      </c>
      <c r="I15" s="397">
        <f>I14/I13</f>
        <v>0.96321741887749712</v>
      </c>
      <c r="J15" s="294">
        <f t="shared" ref="J15:O15" si="6">J14/J13</f>
        <v>0.94181665969024697</v>
      </c>
      <c r="K15" s="294">
        <f t="shared" si="6"/>
        <v>0.97438752783964366</v>
      </c>
      <c r="L15" s="294">
        <f t="shared" si="6"/>
        <v>0.9404801936915731</v>
      </c>
      <c r="M15" s="295">
        <f t="shared" si="6"/>
        <v>0.95666666666666667</v>
      </c>
      <c r="N15" s="295">
        <f t="shared" si="6"/>
        <v>0.93333333333333335</v>
      </c>
      <c r="O15" s="295">
        <f t="shared" si="6"/>
        <v>0.95618055326585116</v>
      </c>
      <c r="P15" s="382"/>
    </row>
    <row r="16" spans="1:18" ht="16.5" customHeight="1" x14ac:dyDescent="0.2">
      <c r="H16" s="400" t="s">
        <v>198</v>
      </c>
      <c r="I16" s="396">
        <v>28600</v>
      </c>
      <c r="J16" s="291">
        <v>28473</v>
      </c>
      <c r="K16" s="291">
        <v>28972</v>
      </c>
      <c r="L16" s="291">
        <v>29002</v>
      </c>
      <c r="M16" s="241">
        <v>29341</v>
      </c>
      <c r="N16" s="241">
        <v>29627.688686666668</v>
      </c>
      <c r="O16" s="241">
        <v>30232</v>
      </c>
      <c r="P16" s="382">
        <f t="shared" si="5"/>
        <v>5.7062937062936969E-2</v>
      </c>
    </row>
    <row r="17" spans="8:16" ht="43.5" customHeight="1" thickBot="1" x14ac:dyDescent="0.25">
      <c r="H17" s="402" t="s">
        <v>211</v>
      </c>
      <c r="I17" s="398">
        <f t="shared" ref="I17:O17" si="7">(I16*I9-I4*H4)/(I9-I4)</f>
        <v>29327.482917820867</v>
      </c>
      <c r="J17" s="292">
        <f t="shared" si="7"/>
        <v>32491.236486486487</v>
      </c>
      <c r="K17" s="292">
        <f t="shared" si="7"/>
        <v>32954.775308641976</v>
      </c>
      <c r="L17" s="292">
        <f t="shared" si="7"/>
        <v>33505.042821158691</v>
      </c>
      <c r="M17" s="293">
        <f t="shared" si="7"/>
        <v>32902.613155833984</v>
      </c>
      <c r="N17" s="293">
        <f t="shared" si="7"/>
        <v>33097.52982861401</v>
      </c>
      <c r="O17" s="293">
        <f t="shared" si="7"/>
        <v>33831.590733590732</v>
      </c>
      <c r="P17" s="383">
        <f t="shared" si="5"/>
        <v>0.15357976094951331</v>
      </c>
    </row>
    <row r="18" spans="8:16" x14ac:dyDescent="0.2">
      <c r="H18" s="163" t="s">
        <v>123</v>
      </c>
    </row>
  </sheetData>
  <pageMargins left="0.7" right="0.7" top="0.75" bottom="0.75" header="0.3" footer="0.3"/>
  <pageSetup paperSize="9" scale="56" orientation="landscape" r:id="rId1"/>
  <ignoredErrors>
    <ignoredError sqref="D7" formula="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showGridLines="0" workbookViewId="0">
      <selection activeCell="A13" sqref="A13"/>
    </sheetView>
  </sheetViews>
  <sheetFormatPr baseColWidth="10" defaultRowHeight="12.75" x14ac:dyDescent="0.2"/>
  <cols>
    <col min="1" max="1" width="11" style="6" customWidth="1"/>
    <col min="2" max="2" width="9.7109375" customWidth="1"/>
    <col min="3" max="5" width="8.28515625" customWidth="1"/>
  </cols>
  <sheetData>
    <row r="1" spans="1:8" ht="29.25" customHeight="1" x14ac:dyDescent="0.2">
      <c r="A1" s="516" t="s">
        <v>130</v>
      </c>
      <c r="B1" s="516"/>
      <c r="C1" s="516"/>
      <c r="D1" s="516"/>
      <c r="E1" s="516"/>
      <c r="F1" s="1"/>
    </row>
    <row r="2" spans="1:8" s="28" customFormat="1" ht="26.25" customHeight="1" x14ac:dyDescent="0.2">
      <c r="A2" s="64"/>
      <c r="B2" s="48" t="s">
        <v>69</v>
      </c>
      <c r="C2" s="48" t="s">
        <v>70</v>
      </c>
      <c r="D2" s="48" t="s">
        <v>71</v>
      </c>
      <c r="E2" s="48" t="s">
        <v>72</v>
      </c>
    </row>
    <row r="3" spans="1:8" s="28" customFormat="1" x14ac:dyDescent="0.2">
      <c r="A3" s="444" t="s">
        <v>87</v>
      </c>
      <c r="B3" s="218">
        <v>2017</v>
      </c>
      <c r="C3" s="219">
        <v>0.93</v>
      </c>
      <c r="D3" s="219">
        <v>0.05</v>
      </c>
      <c r="E3" s="219">
        <v>0.02</v>
      </c>
    </row>
    <row r="4" spans="1:8" s="28" customFormat="1" x14ac:dyDescent="0.2">
      <c r="A4" s="513"/>
      <c r="B4" s="218">
        <v>2016</v>
      </c>
      <c r="C4" s="219">
        <v>0.95</v>
      </c>
      <c r="D4" s="219">
        <v>0.05</v>
      </c>
      <c r="E4" s="219">
        <v>0.01</v>
      </c>
    </row>
    <row r="5" spans="1:8" s="27" customFormat="1" ht="12.75" customHeight="1" x14ac:dyDescent="0.2">
      <c r="A5" s="513"/>
      <c r="B5" s="78">
        <v>2015</v>
      </c>
      <c r="C5" s="79">
        <v>0.9</v>
      </c>
      <c r="D5" s="79">
        <v>0.08</v>
      </c>
      <c r="E5" s="79">
        <v>0.02</v>
      </c>
    </row>
    <row r="6" spans="1:8" s="27" customFormat="1" x14ac:dyDescent="0.2">
      <c r="A6" s="513"/>
      <c r="B6" s="78">
        <v>2014</v>
      </c>
      <c r="C6" s="79">
        <v>0.9</v>
      </c>
      <c r="D6" s="79">
        <v>7.0000000000000007E-2</v>
      </c>
      <c r="E6" s="79">
        <v>0.03</v>
      </c>
      <c r="H6" s="31"/>
    </row>
    <row r="7" spans="1:8" s="27" customFormat="1" x14ac:dyDescent="0.2">
      <c r="A7" s="514"/>
      <c r="B7" s="78">
        <v>2013</v>
      </c>
      <c r="C7" s="79">
        <v>0.79</v>
      </c>
      <c r="D7" s="512">
        <v>0.21</v>
      </c>
      <c r="E7" s="512"/>
      <c r="G7" s="28"/>
    </row>
    <row r="8" spans="1:8" s="27" customFormat="1" x14ac:dyDescent="0.2">
      <c r="A8" s="515" t="s">
        <v>88</v>
      </c>
      <c r="B8" s="78">
        <v>2013</v>
      </c>
      <c r="C8" s="215">
        <v>0.97</v>
      </c>
      <c r="D8" s="215">
        <v>6.0000000000000001E-3</v>
      </c>
      <c r="E8" s="215">
        <v>0.02</v>
      </c>
      <c r="G8" s="28"/>
    </row>
    <row r="9" spans="1:8" s="27" customFormat="1" x14ac:dyDescent="0.2">
      <c r="A9" s="513"/>
      <c r="B9" s="78">
        <v>2012</v>
      </c>
      <c r="C9" s="215">
        <v>0.97</v>
      </c>
      <c r="D9" s="215">
        <v>0.01</v>
      </c>
      <c r="E9" s="215">
        <v>0.02</v>
      </c>
      <c r="G9" s="28"/>
    </row>
    <row r="10" spans="1:8" s="27" customFormat="1" ht="12.75" customHeight="1" x14ac:dyDescent="0.2">
      <c r="A10" s="513"/>
      <c r="B10" s="78">
        <v>2011</v>
      </c>
      <c r="C10" s="79">
        <v>0.94</v>
      </c>
      <c r="D10" s="79">
        <v>0.01</v>
      </c>
      <c r="E10" s="79">
        <v>0.05</v>
      </c>
      <c r="G10" s="29"/>
    </row>
    <row r="11" spans="1:8" s="27" customFormat="1" x14ac:dyDescent="0.2">
      <c r="A11" s="513"/>
      <c r="B11" s="78">
        <v>2010</v>
      </c>
      <c r="C11" s="79">
        <v>0.98</v>
      </c>
      <c r="D11" s="79">
        <v>0</v>
      </c>
      <c r="E11" s="79">
        <v>0.02</v>
      </c>
      <c r="G11" s="30"/>
    </row>
    <row r="12" spans="1:8" s="27" customFormat="1" x14ac:dyDescent="0.2">
      <c r="A12" s="514"/>
      <c r="B12" s="78">
        <v>2009</v>
      </c>
      <c r="C12" s="79">
        <v>0.97</v>
      </c>
      <c r="D12" s="512">
        <v>0.03</v>
      </c>
      <c r="E12" s="512"/>
    </row>
    <row r="13" spans="1:8" x14ac:dyDescent="0.2">
      <c r="A13" s="137" t="s">
        <v>123</v>
      </c>
    </row>
    <row r="14" spans="1:8" x14ac:dyDescent="0.2">
      <c r="A14" s="142"/>
      <c r="B14" s="142"/>
      <c r="C14" s="142"/>
      <c r="D14" s="142"/>
      <c r="E14" s="143"/>
      <c r="F14" s="144"/>
      <c r="G14" s="144"/>
      <c r="H14" s="144"/>
    </row>
    <row r="15" spans="1:8" x14ac:dyDescent="0.2">
      <c r="A15" s="142"/>
      <c r="B15" s="143"/>
      <c r="C15" s="143"/>
      <c r="D15" s="143"/>
      <c r="E15" s="143"/>
      <c r="F15" s="144"/>
      <c r="G15" s="144"/>
      <c r="H15" s="144"/>
    </row>
    <row r="16" spans="1:8" x14ac:dyDescent="0.2">
      <c r="A16" s="145"/>
      <c r="B16" s="146"/>
      <c r="C16" s="146"/>
      <c r="D16" s="146"/>
      <c r="E16" s="146"/>
      <c r="F16" s="144"/>
      <c r="G16" s="141"/>
      <c r="H16" s="144"/>
    </row>
    <row r="17" spans="1:8" x14ac:dyDescent="0.2">
      <c r="A17" s="147"/>
      <c r="B17" s="148"/>
      <c r="C17" s="148"/>
      <c r="D17" s="148"/>
      <c r="E17" s="148"/>
      <c r="F17" s="144"/>
      <c r="G17" s="149"/>
      <c r="H17" s="144"/>
    </row>
  </sheetData>
  <mergeCells count="5">
    <mergeCell ref="D7:E7"/>
    <mergeCell ref="D12:E12"/>
    <mergeCell ref="A3:A7"/>
    <mergeCell ref="A8:A12"/>
    <mergeCell ref="A1:E1"/>
  </mergeCell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2"/>
  <sheetViews>
    <sheetView zoomScale="90" zoomScaleNormal="90" workbookViewId="0">
      <selection activeCell="G12" sqref="G12"/>
    </sheetView>
  </sheetViews>
  <sheetFormatPr baseColWidth="10" defaultRowHeight="12.75" x14ac:dyDescent="0.2"/>
  <cols>
    <col min="1" max="1" width="39" customWidth="1"/>
    <col min="2" max="3" width="14" customWidth="1"/>
    <col min="4" max="4" width="14" style="27" customWidth="1"/>
    <col min="5" max="7" width="11.42578125" style="27"/>
  </cols>
  <sheetData>
    <row r="1" spans="1:17" ht="15" x14ac:dyDescent="0.2">
      <c r="A1" s="296" t="s">
        <v>210</v>
      </c>
      <c r="B1" s="216"/>
      <c r="C1" s="216"/>
      <c r="D1" s="315"/>
      <c r="E1" s="315"/>
      <c r="F1" s="315"/>
      <c r="G1" s="316"/>
      <c r="H1" s="130"/>
      <c r="I1" s="130"/>
      <c r="J1" s="130"/>
      <c r="K1" s="216"/>
      <c r="L1" s="216"/>
      <c r="M1" s="216"/>
      <c r="N1" s="216"/>
      <c r="O1" s="216"/>
      <c r="P1" s="216"/>
      <c r="Q1" s="216"/>
    </row>
    <row r="2" spans="1:17" ht="15" x14ac:dyDescent="0.2">
      <c r="A2" s="296"/>
      <c r="B2" s="216"/>
      <c r="C2" s="216"/>
      <c r="D2" s="315"/>
      <c r="F2" s="315"/>
      <c r="G2" s="316"/>
      <c r="H2" s="130"/>
      <c r="I2" s="130"/>
      <c r="J2" s="130"/>
      <c r="K2" s="216"/>
      <c r="L2" s="216"/>
      <c r="M2" s="216"/>
      <c r="N2" s="216"/>
      <c r="O2" s="216"/>
      <c r="P2" s="216"/>
      <c r="Q2" s="216"/>
    </row>
    <row r="3" spans="1:17" ht="38.25" x14ac:dyDescent="0.2">
      <c r="A3" s="415" t="s">
        <v>224</v>
      </c>
      <c r="B3" s="414" t="s">
        <v>222</v>
      </c>
      <c r="C3" s="414" t="s">
        <v>223</v>
      </c>
      <c r="D3" s="317"/>
      <c r="E3" s="315"/>
      <c r="F3" s="315"/>
      <c r="G3" s="315"/>
      <c r="H3" s="216"/>
      <c r="I3" s="216"/>
      <c r="J3" s="216"/>
      <c r="K3" s="216"/>
      <c r="L3" s="216"/>
      <c r="M3" s="216"/>
      <c r="N3" s="216"/>
      <c r="O3" s="216"/>
      <c r="P3" s="216"/>
      <c r="Q3" s="216"/>
    </row>
    <row r="4" spans="1:17" ht="36.75" customHeight="1" x14ac:dyDescent="0.2">
      <c r="A4" s="416" t="s">
        <v>201</v>
      </c>
      <c r="B4" s="417">
        <v>0.64</v>
      </c>
      <c r="C4" s="418">
        <f>208/320</f>
        <v>0.65</v>
      </c>
      <c r="D4" s="318"/>
      <c r="E4" s="315"/>
      <c r="F4" s="319"/>
      <c r="G4" s="315"/>
      <c r="H4" s="216"/>
      <c r="I4" s="216"/>
      <c r="J4" s="216"/>
      <c r="K4" s="216"/>
      <c r="L4" s="216"/>
      <c r="M4" s="216"/>
      <c r="N4" s="216"/>
      <c r="O4" s="216"/>
      <c r="P4" s="216"/>
      <c r="Q4" s="216"/>
    </row>
    <row r="5" spans="1:17" x14ac:dyDescent="0.2">
      <c r="A5" s="419" t="s">
        <v>75</v>
      </c>
      <c r="B5" s="420">
        <v>0.64</v>
      </c>
      <c r="C5" s="418">
        <f>200/320</f>
        <v>0.625</v>
      </c>
      <c r="D5" s="318"/>
      <c r="E5" s="319"/>
      <c r="F5" s="319"/>
      <c r="G5" s="315"/>
      <c r="H5" s="216"/>
      <c r="I5" s="216"/>
      <c r="J5" s="216"/>
      <c r="K5" s="216"/>
      <c r="L5" s="216"/>
      <c r="M5" s="216"/>
      <c r="N5" s="216"/>
      <c r="O5" s="216"/>
      <c r="P5" s="216"/>
      <c r="Q5" s="216"/>
    </row>
    <row r="6" spans="1:17" x14ac:dyDescent="0.2">
      <c r="A6" s="419" t="s">
        <v>76</v>
      </c>
      <c r="B6" s="420">
        <v>0.48</v>
      </c>
      <c r="C6" s="418">
        <f>151/320</f>
        <v>0.47187499999999999</v>
      </c>
      <c r="D6" s="318"/>
      <c r="E6" s="315"/>
      <c r="F6" s="319"/>
      <c r="G6" s="319"/>
      <c r="H6" s="217"/>
      <c r="I6" s="216"/>
      <c r="J6" s="216"/>
      <c r="K6" s="216"/>
      <c r="L6" s="216"/>
      <c r="M6" s="216"/>
      <c r="N6" s="216"/>
      <c r="O6" s="216"/>
      <c r="P6" s="216"/>
      <c r="Q6" s="216"/>
    </row>
    <row r="7" spans="1:17" x14ac:dyDescent="0.2">
      <c r="A7" s="419" t="s">
        <v>77</v>
      </c>
      <c r="B7" s="420">
        <v>0.16</v>
      </c>
      <c r="C7" s="418">
        <f>62/320</f>
        <v>0.19375000000000001</v>
      </c>
      <c r="D7" s="318"/>
      <c r="E7" s="315"/>
      <c r="F7" s="319"/>
      <c r="G7" s="315"/>
      <c r="H7" s="216"/>
      <c r="I7" s="216"/>
      <c r="J7" s="216"/>
      <c r="K7" s="216"/>
      <c r="L7" s="216"/>
      <c r="M7" s="216"/>
      <c r="N7" s="216"/>
      <c r="O7" s="216"/>
      <c r="P7" s="216"/>
      <c r="Q7" s="216"/>
    </row>
    <row r="8" spans="1:17" x14ac:dyDescent="0.2">
      <c r="A8" s="421" t="s">
        <v>202</v>
      </c>
      <c r="B8" s="418">
        <v>0.77</v>
      </c>
      <c r="C8" s="418">
        <f>225/320</f>
        <v>0.703125</v>
      </c>
      <c r="D8" s="318"/>
      <c r="E8" s="315"/>
      <c r="F8" s="315"/>
      <c r="G8" s="315"/>
      <c r="H8" s="216"/>
      <c r="I8" s="216"/>
      <c r="J8" s="216"/>
      <c r="K8" s="216"/>
      <c r="L8" s="216"/>
      <c r="M8" s="216"/>
      <c r="N8" s="216"/>
      <c r="O8" s="216"/>
      <c r="P8" s="216"/>
      <c r="Q8" s="216"/>
    </row>
    <row r="9" spans="1:17" x14ac:dyDescent="0.2">
      <c r="A9" s="421" t="s">
        <v>203</v>
      </c>
      <c r="B9" s="418">
        <v>0.63</v>
      </c>
      <c r="C9" s="418">
        <f>204/320</f>
        <v>0.63749999999999996</v>
      </c>
      <c r="D9" s="318"/>
      <c r="E9" s="315"/>
      <c r="F9" s="315"/>
      <c r="G9" s="223"/>
      <c r="H9" s="130"/>
      <c r="I9" s="130"/>
      <c r="J9" s="130"/>
      <c r="K9" s="216"/>
      <c r="L9" s="216"/>
      <c r="M9" s="216"/>
      <c r="N9" s="216"/>
      <c r="O9" s="216"/>
      <c r="P9" s="216"/>
      <c r="Q9" s="216"/>
    </row>
    <row r="10" spans="1:17" x14ac:dyDescent="0.2">
      <c r="A10" s="419" t="s">
        <v>78</v>
      </c>
      <c r="B10" s="420">
        <v>0.7</v>
      </c>
      <c r="C10" s="418">
        <f>218/320</f>
        <v>0.68125000000000002</v>
      </c>
      <c r="D10" s="318"/>
      <c r="E10" s="315"/>
      <c r="F10" s="319"/>
      <c r="G10" s="223"/>
      <c r="H10" s="130"/>
      <c r="I10" s="130"/>
      <c r="J10" s="130"/>
      <c r="K10" s="216"/>
      <c r="L10" s="216"/>
      <c r="M10" s="216"/>
      <c r="N10" s="216"/>
      <c r="O10" s="216"/>
      <c r="P10" s="216"/>
      <c r="Q10" s="216"/>
    </row>
    <row r="11" spans="1:17" x14ac:dyDescent="0.2">
      <c r="A11" s="419" t="s">
        <v>79</v>
      </c>
      <c r="B11" s="420">
        <v>0.16</v>
      </c>
      <c r="C11" s="418">
        <f>54/320</f>
        <v>0.16875000000000001</v>
      </c>
      <c r="D11" s="318"/>
      <c r="E11" s="315"/>
      <c r="F11" s="319"/>
      <c r="G11" s="316"/>
      <c r="H11" s="130"/>
      <c r="I11" s="130"/>
      <c r="J11" s="130"/>
      <c r="K11" s="216"/>
      <c r="L11" s="216"/>
      <c r="M11" s="216"/>
      <c r="N11" s="216"/>
      <c r="O11" s="216"/>
      <c r="P11" s="216"/>
      <c r="Q11" s="216"/>
    </row>
    <row r="12" spans="1:17" x14ac:dyDescent="0.2">
      <c r="A12" s="137" t="s">
        <v>123</v>
      </c>
      <c r="B12" s="216"/>
      <c r="C12" s="216"/>
      <c r="D12" s="315"/>
      <c r="E12" s="315"/>
      <c r="F12" s="315"/>
      <c r="G12" s="316"/>
      <c r="H12" s="130"/>
      <c r="I12" s="130"/>
      <c r="J12" s="130"/>
      <c r="K12" s="216"/>
      <c r="L12" s="216"/>
      <c r="M12" s="216"/>
      <c r="N12" s="216"/>
      <c r="O12" s="216"/>
      <c r="P12" s="216"/>
      <c r="Q12" s="216"/>
    </row>
    <row r="13" spans="1:17" x14ac:dyDescent="0.2">
      <c r="A13" s="216"/>
      <c r="B13" s="216"/>
      <c r="C13" s="216"/>
      <c r="D13" s="315"/>
      <c r="E13" s="315"/>
      <c r="F13" s="315"/>
      <c r="G13" s="316"/>
      <c r="H13" s="130"/>
      <c r="I13" s="130"/>
      <c r="J13" s="130"/>
      <c r="K13" s="216"/>
      <c r="L13" s="216"/>
      <c r="M13" s="216"/>
      <c r="N13" s="216"/>
      <c r="O13" s="216"/>
      <c r="P13" s="216"/>
      <c r="Q13" s="216"/>
    </row>
    <row r="14" spans="1:17" x14ac:dyDescent="0.2">
      <c r="A14" s="216"/>
      <c r="B14" s="216"/>
      <c r="C14" s="216"/>
      <c r="D14" s="315"/>
      <c r="E14" s="315"/>
      <c r="F14" s="315"/>
      <c r="G14" s="315"/>
      <c r="H14" s="216"/>
      <c r="I14" s="216"/>
      <c r="J14" s="216"/>
      <c r="K14" s="216"/>
      <c r="L14" s="216"/>
      <c r="M14" s="216"/>
      <c r="N14" s="216"/>
      <c r="O14" s="216"/>
      <c r="P14" s="216"/>
      <c r="Q14" s="216"/>
    </row>
    <row r="15" spans="1:17" x14ac:dyDescent="0.2">
      <c r="A15" s="216"/>
      <c r="B15" s="216"/>
      <c r="C15" s="216"/>
      <c r="D15" s="315"/>
      <c r="E15" s="315"/>
      <c r="F15" s="315"/>
      <c r="G15" s="315"/>
      <c r="H15" s="216"/>
      <c r="I15" s="216"/>
      <c r="J15" s="216"/>
      <c r="K15" s="216"/>
      <c r="L15" s="216"/>
      <c r="M15" s="216"/>
      <c r="N15" s="216"/>
      <c r="O15" s="216"/>
      <c r="P15" s="216"/>
      <c r="Q15" s="216"/>
    </row>
    <row r="16" spans="1:17" x14ac:dyDescent="0.2">
      <c r="A16" s="216"/>
      <c r="B16" s="216"/>
      <c r="C16" s="216"/>
      <c r="D16" s="315"/>
      <c r="E16" s="315"/>
      <c r="F16" s="315"/>
      <c r="G16" s="315"/>
      <c r="H16" s="216"/>
      <c r="I16" s="216"/>
      <c r="J16" s="216"/>
      <c r="K16" s="216"/>
      <c r="L16" s="216"/>
      <c r="M16" s="216"/>
      <c r="N16" s="216"/>
      <c r="O16" s="216"/>
      <c r="P16" s="216"/>
      <c r="Q16" s="216"/>
    </row>
    <row r="17" spans="1:17" x14ac:dyDescent="0.2">
      <c r="A17" s="216"/>
      <c r="B17" s="216"/>
      <c r="C17" s="216"/>
      <c r="D17" s="315"/>
      <c r="E17" s="315"/>
      <c r="F17" s="315"/>
      <c r="G17" s="315"/>
      <c r="H17" s="216"/>
      <c r="I17" s="216"/>
      <c r="J17" s="216"/>
      <c r="K17" s="216"/>
      <c r="L17" s="216"/>
      <c r="M17" s="216"/>
      <c r="N17" s="216"/>
      <c r="O17" s="216"/>
      <c r="P17" s="216"/>
      <c r="Q17" s="216"/>
    </row>
    <row r="18" spans="1:17" x14ac:dyDescent="0.2">
      <c r="A18" s="216"/>
      <c r="B18" s="216"/>
      <c r="C18" s="216"/>
      <c r="D18" s="315"/>
      <c r="E18" s="315"/>
      <c r="F18" s="315"/>
      <c r="G18" s="315"/>
      <c r="H18" s="216"/>
      <c r="I18" s="216"/>
      <c r="J18" s="216"/>
      <c r="K18" s="216"/>
      <c r="L18" s="216"/>
      <c r="M18" s="216"/>
      <c r="N18" s="216"/>
      <c r="O18" s="216"/>
      <c r="P18" s="216"/>
      <c r="Q18" s="216"/>
    </row>
    <row r="19" spans="1:17" x14ac:dyDescent="0.2">
      <c r="A19" s="216"/>
      <c r="B19" s="216"/>
      <c r="C19" s="216"/>
      <c r="D19" s="315"/>
      <c r="E19" s="315"/>
      <c r="F19" s="315"/>
      <c r="G19" s="315"/>
      <c r="H19" s="216"/>
      <c r="I19" s="216"/>
      <c r="J19" s="216"/>
      <c r="K19" s="216"/>
      <c r="L19" s="216"/>
      <c r="M19" s="216"/>
      <c r="N19" s="216"/>
      <c r="O19" s="216"/>
      <c r="P19" s="216"/>
      <c r="Q19" s="216"/>
    </row>
    <row r="20" spans="1:17" x14ac:dyDescent="0.2">
      <c r="A20" s="216"/>
      <c r="B20" s="216"/>
      <c r="C20" s="216"/>
      <c r="D20" s="315"/>
      <c r="E20" s="315"/>
      <c r="F20" s="315"/>
      <c r="G20" s="315"/>
      <c r="H20" s="216"/>
      <c r="I20" s="216"/>
      <c r="J20" s="216"/>
      <c r="K20" s="216"/>
      <c r="L20" s="216"/>
      <c r="M20" s="216"/>
      <c r="N20" s="216"/>
      <c r="O20" s="216"/>
      <c r="P20" s="216"/>
      <c r="Q20" s="216"/>
    </row>
    <row r="21" spans="1:17" x14ac:dyDescent="0.2">
      <c r="A21" s="216"/>
      <c r="B21" s="216"/>
      <c r="C21" s="216"/>
      <c r="D21" s="315"/>
      <c r="E21" s="315"/>
      <c r="F21" s="315"/>
      <c r="G21" s="315"/>
      <c r="H21" s="216"/>
      <c r="I21" s="216"/>
      <c r="J21" s="216"/>
      <c r="K21" s="216"/>
      <c r="L21" s="216"/>
      <c r="M21" s="216"/>
      <c r="N21" s="216"/>
      <c r="O21" s="216"/>
      <c r="P21" s="216"/>
      <c r="Q21" s="216"/>
    </row>
    <row r="22" spans="1:17" x14ac:dyDescent="0.2">
      <c r="A22" s="216"/>
      <c r="B22" s="216"/>
      <c r="C22" s="216"/>
      <c r="D22" s="315"/>
      <c r="E22" s="315"/>
      <c r="F22" s="315"/>
      <c r="G22" s="315"/>
      <c r="H22" s="216"/>
      <c r="I22" s="216"/>
      <c r="J22" s="216"/>
      <c r="K22" s="216"/>
      <c r="L22" s="216"/>
      <c r="M22" s="216"/>
      <c r="N22" s="216"/>
      <c r="O22" s="216"/>
      <c r="P22" s="216"/>
      <c r="Q22" s="216"/>
    </row>
    <row r="23" spans="1:17" x14ac:dyDescent="0.2">
      <c r="A23" s="216"/>
      <c r="B23" s="216"/>
      <c r="C23" s="216"/>
      <c r="D23" s="315"/>
      <c r="E23" s="315"/>
      <c r="F23" s="315"/>
      <c r="G23" s="315"/>
      <c r="H23" s="216"/>
      <c r="I23" s="216"/>
      <c r="J23" s="216"/>
      <c r="K23" s="216"/>
      <c r="L23" s="216"/>
      <c r="M23" s="216"/>
      <c r="N23" s="216"/>
      <c r="O23" s="216"/>
      <c r="P23" s="216"/>
      <c r="Q23" s="216"/>
    </row>
    <row r="24" spans="1:17" x14ac:dyDescent="0.2">
      <c r="A24" s="216"/>
      <c r="B24" s="216"/>
      <c r="C24" s="216"/>
      <c r="D24" s="315"/>
      <c r="E24" s="315"/>
      <c r="F24" s="315"/>
      <c r="G24" s="315"/>
      <c r="H24" s="216"/>
      <c r="I24" s="216"/>
      <c r="J24" s="216"/>
      <c r="K24" s="216"/>
      <c r="L24" s="216"/>
      <c r="M24" s="216"/>
      <c r="N24" s="216"/>
      <c r="O24" s="216"/>
      <c r="P24" s="216"/>
      <c r="Q24" s="216"/>
    </row>
    <row r="25" spans="1:17" x14ac:dyDescent="0.2">
      <c r="A25" s="216"/>
      <c r="B25" s="216"/>
      <c r="C25" s="216"/>
      <c r="D25" s="315"/>
      <c r="E25" s="315"/>
      <c r="F25" s="315"/>
      <c r="G25" s="315"/>
      <c r="H25" s="216"/>
      <c r="I25" s="216"/>
      <c r="J25" s="216"/>
      <c r="K25" s="216"/>
      <c r="L25" s="216"/>
      <c r="M25" s="216"/>
      <c r="N25" s="216"/>
      <c r="O25" s="216"/>
      <c r="P25" s="216"/>
      <c r="Q25" s="216"/>
    </row>
    <row r="26" spans="1:17" x14ac:dyDescent="0.2">
      <c r="A26" s="216"/>
      <c r="B26" s="216"/>
      <c r="C26" s="216"/>
      <c r="D26" s="315"/>
      <c r="E26" s="315"/>
      <c r="F26" s="315"/>
      <c r="G26" s="315"/>
      <c r="H26" s="216"/>
      <c r="I26" s="216"/>
      <c r="J26" s="216"/>
      <c r="K26" s="216"/>
      <c r="L26" s="216"/>
      <c r="M26" s="216"/>
      <c r="N26" s="216"/>
      <c r="O26" s="216"/>
      <c r="P26" s="216"/>
      <c r="Q26" s="216"/>
    </row>
    <row r="27" spans="1:17" x14ac:dyDescent="0.2">
      <c r="A27" s="216"/>
      <c r="B27" s="216"/>
      <c r="C27" s="216"/>
      <c r="D27" s="315"/>
      <c r="E27" s="315"/>
      <c r="F27" s="315"/>
      <c r="G27" s="315"/>
      <c r="H27" s="216"/>
      <c r="I27" s="216"/>
      <c r="J27" s="216"/>
      <c r="K27" s="216"/>
      <c r="L27" s="216"/>
      <c r="M27" s="216"/>
      <c r="N27" s="216"/>
      <c r="O27" s="216"/>
      <c r="P27" s="216"/>
      <c r="Q27" s="216"/>
    </row>
    <row r="28" spans="1:17" x14ac:dyDescent="0.2">
      <c r="A28" s="216"/>
      <c r="B28" s="216"/>
      <c r="C28" s="216"/>
      <c r="D28" s="315"/>
      <c r="E28" s="315"/>
      <c r="F28" s="315"/>
      <c r="G28" s="315"/>
      <c r="H28" s="216"/>
      <c r="I28" s="216"/>
      <c r="J28" s="216"/>
      <c r="K28" s="216"/>
      <c r="L28" s="216"/>
      <c r="M28" s="216"/>
      <c r="N28" s="216"/>
      <c r="O28" s="216"/>
      <c r="P28" s="216"/>
      <c r="Q28" s="216"/>
    </row>
    <row r="29" spans="1:17" x14ac:dyDescent="0.2">
      <c r="A29" s="216"/>
      <c r="B29" s="216"/>
      <c r="C29" s="216"/>
      <c r="D29" s="315"/>
      <c r="E29" s="315"/>
      <c r="F29" s="315"/>
      <c r="G29" s="315"/>
      <c r="H29" s="216"/>
      <c r="I29" s="216"/>
      <c r="J29" s="216"/>
      <c r="K29" s="216"/>
      <c r="L29" s="216"/>
      <c r="M29" s="216"/>
      <c r="N29" s="216"/>
      <c r="O29" s="216"/>
      <c r="P29" s="216"/>
      <c r="Q29" s="216"/>
    </row>
    <row r="30" spans="1:17" x14ac:dyDescent="0.2">
      <c r="A30" s="216"/>
      <c r="B30" s="216"/>
      <c r="C30" s="216"/>
      <c r="D30" s="315"/>
      <c r="E30" s="315"/>
      <c r="F30" s="315"/>
      <c r="G30" s="315"/>
      <c r="H30" s="216"/>
      <c r="I30" s="216"/>
      <c r="J30" s="216"/>
      <c r="K30" s="216"/>
      <c r="L30" s="216"/>
      <c r="M30" s="216"/>
      <c r="N30" s="216"/>
      <c r="O30" s="216"/>
      <c r="P30" s="216"/>
      <c r="Q30" s="216"/>
    </row>
    <row r="31" spans="1:17" x14ac:dyDescent="0.2">
      <c r="A31" s="216"/>
      <c r="B31" s="216"/>
      <c r="C31" s="216"/>
      <c r="D31" s="315"/>
      <c r="E31" s="315"/>
      <c r="F31" s="315"/>
      <c r="G31" s="315"/>
      <c r="H31" s="216"/>
      <c r="I31" s="216"/>
      <c r="J31" s="216"/>
      <c r="K31" s="216"/>
      <c r="L31" s="216"/>
      <c r="M31" s="216"/>
      <c r="N31" s="216"/>
      <c r="O31" s="216"/>
      <c r="P31" s="216"/>
      <c r="Q31" s="216"/>
    </row>
    <row r="32" spans="1:17" x14ac:dyDescent="0.2">
      <c r="A32" s="216"/>
      <c r="B32" s="216"/>
      <c r="C32" s="216"/>
      <c r="D32" s="315"/>
      <c r="E32" s="315"/>
      <c r="F32" s="315"/>
      <c r="G32" s="315"/>
      <c r="H32" s="216"/>
      <c r="I32" s="216"/>
      <c r="J32" s="216"/>
      <c r="K32" s="216"/>
      <c r="L32" s="216"/>
      <c r="M32" s="216"/>
      <c r="N32" s="216"/>
      <c r="O32" s="216"/>
      <c r="P32" s="216"/>
      <c r="Q32" s="216"/>
    </row>
    <row r="33" spans="1:17" x14ac:dyDescent="0.2">
      <c r="A33" s="216"/>
      <c r="B33" s="216"/>
      <c r="C33" s="216"/>
      <c r="D33" s="315"/>
      <c r="E33" s="315"/>
      <c r="F33" s="315"/>
      <c r="G33" s="315"/>
      <c r="H33" s="216"/>
      <c r="I33" s="216"/>
      <c r="J33" s="216"/>
      <c r="K33" s="216"/>
      <c r="L33" s="216"/>
      <c r="M33" s="216"/>
      <c r="N33" s="216"/>
      <c r="O33" s="216"/>
      <c r="P33" s="216"/>
      <c r="Q33" s="216"/>
    </row>
    <row r="34" spans="1:17" x14ac:dyDescent="0.2">
      <c r="A34" s="216"/>
      <c r="B34" s="216"/>
      <c r="C34" s="216"/>
      <c r="D34" s="315"/>
      <c r="E34" s="315"/>
      <c r="F34" s="315"/>
      <c r="G34" s="315"/>
      <c r="H34" s="216"/>
      <c r="I34" s="216"/>
      <c r="J34" s="216"/>
      <c r="K34" s="216"/>
      <c r="L34" s="216"/>
      <c r="M34" s="216"/>
      <c r="N34" s="216"/>
      <c r="O34" s="216"/>
      <c r="P34" s="216"/>
      <c r="Q34" s="216"/>
    </row>
    <row r="35" spans="1:17" x14ac:dyDescent="0.2">
      <c r="A35" s="216"/>
      <c r="B35" s="216"/>
      <c r="C35" s="216"/>
      <c r="D35" s="315"/>
      <c r="E35" s="315"/>
      <c r="F35" s="315"/>
      <c r="G35" s="315"/>
      <c r="H35" s="216"/>
      <c r="I35" s="216"/>
      <c r="J35" s="216"/>
      <c r="K35" s="216"/>
      <c r="L35" s="216"/>
      <c r="M35" s="216"/>
      <c r="N35" s="216"/>
      <c r="O35" s="216"/>
      <c r="P35" s="216"/>
      <c r="Q35" s="216"/>
    </row>
    <row r="36" spans="1:17" x14ac:dyDescent="0.2">
      <c r="A36" s="216"/>
      <c r="B36" s="216"/>
      <c r="C36" s="216"/>
      <c r="D36" s="315"/>
      <c r="E36" s="315"/>
      <c r="F36" s="315"/>
      <c r="G36" s="315"/>
      <c r="H36" s="216"/>
      <c r="I36" s="216"/>
      <c r="J36" s="216"/>
      <c r="K36" s="216"/>
      <c r="L36" s="216"/>
      <c r="M36" s="216"/>
      <c r="N36" s="216"/>
      <c r="O36" s="216"/>
      <c r="P36" s="216"/>
      <c r="Q36" s="216"/>
    </row>
    <row r="37" spans="1:17" x14ac:dyDescent="0.2">
      <c r="A37" s="216"/>
      <c r="B37" s="216"/>
      <c r="C37" s="216"/>
      <c r="D37" s="315"/>
      <c r="E37" s="315"/>
      <c r="F37" s="315"/>
      <c r="G37" s="315"/>
      <c r="H37" s="216"/>
      <c r="I37" s="216"/>
      <c r="J37" s="216"/>
      <c r="K37" s="216"/>
      <c r="L37" s="216"/>
      <c r="M37" s="216"/>
      <c r="N37" s="216"/>
      <c r="O37" s="216"/>
      <c r="P37" s="216"/>
      <c r="Q37" s="216"/>
    </row>
    <row r="38" spans="1:17" x14ac:dyDescent="0.2">
      <c r="A38" s="216"/>
      <c r="B38" s="216"/>
      <c r="C38" s="216"/>
      <c r="D38" s="315"/>
      <c r="E38" s="315"/>
      <c r="F38" s="315"/>
      <c r="G38" s="315"/>
      <c r="H38" s="216"/>
      <c r="I38" s="216"/>
      <c r="J38" s="216"/>
      <c r="K38" s="216"/>
      <c r="L38" s="216"/>
      <c r="M38" s="216"/>
      <c r="N38" s="216"/>
      <c r="O38" s="216"/>
      <c r="P38" s="216"/>
      <c r="Q38" s="216"/>
    </row>
    <row r="39" spans="1:17" x14ac:dyDescent="0.2">
      <c r="A39" s="216"/>
      <c r="B39" s="216"/>
      <c r="C39" s="216"/>
      <c r="D39" s="315"/>
      <c r="E39" s="315"/>
      <c r="F39" s="315"/>
      <c r="G39" s="315"/>
      <c r="H39" s="216"/>
      <c r="I39" s="216"/>
      <c r="J39" s="216"/>
      <c r="K39" s="216"/>
      <c r="L39" s="216"/>
      <c r="M39" s="216"/>
      <c r="N39" s="216"/>
      <c r="O39" s="216"/>
      <c r="P39" s="216"/>
      <c r="Q39" s="216"/>
    </row>
    <row r="40" spans="1:17" x14ac:dyDescent="0.2">
      <c r="A40" s="216"/>
      <c r="B40" s="216"/>
      <c r="C40" s="216"/>
      <c r="D40" s="315"/>
      <c r="E40" s="315"/>
      <c r="F40" s="315"/>
      <c r="G40" s="315"/>
      <c r="H40" s="216"/>
      <c r="I40" s="216"/>
      <c r="J40" s="216"/>
      <c r="K40" s="216"/>
      <c r="L40" s="216"/>
      <c r="M40" s="216"/>
      <c r="N40" s="216"/>
      <c r="O40" s="216"/>
      <c r="P40" s="216"/>
      <c r="Q40" s="216"/>
    </row>
    <row r="41" spans="1:17" x14ac:dyDescent="0.2">
      <c r="A41" s="216"/>
      <c r="B41" s="216"/>
      <c r="C41" s="216"/>
      <c r="D41" s="315"/>
      <c r="E41" s="315"/>
      <c r="F41" s="315"/>
      <c r="G41" s="315"/>
      <c r="H41" s="216"/>
      <c r="I41" s="216"/>
      <c r="J41" s="216"/>
      <c r="K41" s="216"/>
      <c r="L41" s="216"/>
      <c r="M41" s="216"/>
      <c r="N41" s="216"/>
      <c r="O41" s="216"/>
      <c r="P41" s="216"/>
      <c r="Q41" s="216"/>
    </row>
    <row r="42" spans="1:17" x14ac:dyDescent="0.2">
      <c r="A42" s="216"/>
      <c r="B42" s="216"/>
      <c r="C42" s="216"/>
      <c r="D42" s="315"/>
      <c r="E42" s="315"/>
      <c r="F42" s="315"/>
      <c r="G42" s="315"/>
      <c r="H42" s="216"/>
      <c r="I42" s="216"/>
      <c r="J42" s="216"/>
      <c r="K42" s="216"/>
      <c r="L42" s="216"/>
      <c r="M42" s="216"/>
      <c r="N42" s="216"/>
      <c r="O42" s="216"/>
      <c r="P42" s="216"/>
      <c r="Q42" s="216"/>
    </row>
    <row r="43" spans="1:17" x14ac:dyDescent="0.2">
      <c r="A43" s="216"/>
      <c r="B43" s="216"/>
      <c r="C43" s="216"/>
      <c r="D43" s="315"/>
      <c r="E43" s="315"/>
      <c r="F43" s="315"/>
      <c r="G43" s="315"/>
      <c r="H43" s="216"/>
      <c r="I43" s="216"/>
      <c r="J43" s="216"/>
      <c r="K43" s="216"/>
      <c r="L43" s="216"/>
      <c r="M43" s="216"/>
      <c r="N43" s="216"/>
      <c r="O43" s="216"/>
      <c r="P43" s="216"/>
      <c r="Q43" s="216"/>
    </row>
    <row r="44" spans="1:17" x14ac:dyDescent="0.2">
      <c r="A44" s="216"/>
      <c r="B44" s="216"/>
      <c r="C44" s="216"/>
      <c r="D44" s="315"/>
      <c r="E44" s="315"/>
      <c r="F44" s="315"/>
      <c r="G44" s="315"/>
      <c r="H44" s="216"/>
      <c r="I44" s="216"/>
      <c r="J44" s="216"/>
      <c r="K44" s="216"/>
      <c r="L44" s="216"/>
      <c r="M44" s="216"/>
      <c r="N44" s="216"/>
      <c r="O44" s="216"/>
      <c r="P44" s="216"/>
      <c r="Q44" s="216"/>
    </row>
    <row r="45" spans="1:17" x14ac:dyDescent="0.2">
      <c r="A45" s="216"/>
      <c r="B45" s="216"/>
      <c r="C45" s="216"/>
      <c r="D45" s="315"/>
      <c r="E45" s="315"/>
      <c r="F45" s="315"/>
      <c r="G45" s="315"/>
      <c r="H45" s="216"/>
      <c r="I45" s="216"/>
      <c r="J45" s="216"/>
      <c r="K45" s="216"/>
      <c r="L45" s="216"/>
      <c r="M45" s="216"/>
      <c r="N45" s="216"/>
      <c r="O45" s="216"/>
      <c r="P45" s="216"/>
      <c r="Q45" s="216"/>
    </row>
    <row r="46" spans="1:17" x14ac:dyDescent="0.2">
      <c r="A46" s="216"/>
      <c r="B46" s="216"/>
      <c r="C46" s="216"/>
      <c r="D46" s="315"/>
      <c r="E46" s="315"/>
      <c r="F46" s="315"/>
      <c r="G46" s="315"/>
      <c r="H46" s="216"/>
      <c r="I46" s="216"/>
      <c r="J46" s="216"/>
      <c r="K46" s="216"/>
      <c r="L46" s="216"/>
      <c r="M46" s="216"/>
      <c r="N46" s="216"/>
      <c r="O46" s="216"/>
      <c r="P46" s="216"/>
      <c r="Q46" s="216"/>
    </row>
    <row r="47" spans="1:17" x14ac:dyDescent="0.2">
      <c r="A47" s="216"/>
      <c r="B47" s="216"/>
      <c r="C47" s="216"/>
      <c r="D47" s="315"/>
      <c r="E47" s="315"/>
      <c r="F47" s="315"/>
      <c r="G47" s="315"/>
      <c r="H47" s="216"/>
      <c r="I47" s="216"/>
      <c r="J47" s="216"/>
      <c r="K47" s="216"/>
      <c r="L47" s="216"/>
      <c r="M47" s="216"/>
      <c r="N47" s="216"/>
      <c r="O47" s="216"/>
      <c r="P47" s="216"/>
      <c r="Q47" s="216"/>
    </row>
    <row r="48" spans="1:17" x14ac:dyDescent="0.2">
      <c r="A48" s="216"/>
      <c r="B48" s="216"/>
      <c r="C48" s="216"/>
      <c r="D48" s="315"/>
      <c r="E48" s="315"/>
      <c r="F48" s="315"/>
      <c r="G48" s="315"/>
      <c r="H48" s="216"/>
      <c r="I48" s="216"/>
      <c r="J48" s="216"/>
      <c r="K48" s="216"/>
      <c r="L48" s="216"/>
      <c r="M48" s="216"/>
      <c r="N48" s="216"/>
      <c r="O48" s="216"/>
      <c r="P48" s="216"/>
      <c r="Q48" s="216"/>
    </row>
    <row r="49" spans="1:17" x14ac:dyDescent="0.2">
      <c r="A49" s="216"/>
      <c r="B49" s="216"/>
      <c r="C49" s="216"/>
      <c r="D49" s="315"/>
      <c r="E49" s="315"/>
      <c r="F49" s="315"/>
      <c r="G49" s="315"/>
      <c r="H49" s="216"/>
      <c r="I49" s="216"/>
      <c r="J49" s="216"/>
      <c r="K49" s="216"/>
      <c r="L49" s="216"/>
      <c r="M49" s="216"/>
      <c r="N49" s="216"/>
      <c r="O49" s="216"/>
      <c r="P49" s="216"/>
      <c r="Q49" s="216"/>
    </row>
    <row r="50" spans="1:17" x14ac:dyDescent="0.2">
      <c r="A50" s="216"/>
      <c r="B50" s="216"/>
      <c r="C50" s="216"/>
      <c r="D50" s="315"/>
      <c r="E50" s="315"/>
      <c r="F50" s="315"/>
      <c r="G50" s="315"/>
      <c r="H50" s="216"/>
      <c r="I50" s="216"/>
      <c r="J50" s="216"/>
      <c r="K50" s="216"/>
      <c r="L50" s="216"/>
      <c r="M50" s="216"/>
      <c r="N50" s="216"/>
      <c r="O50" s="216"/>
      <c r="P50" s="216"/>
      <c r="Q50" s="216"/>
    </row>
    <row r="51" spans="1:17" x14ac:dyDescent="0.2">
      <c r="A51" s="216"/>
      <c r="B51" s="216"/>
      <c r="C51" s="216"/>
      <c r="D51" s="315"/>
      <c r="E51" s="315"/>
      <c r="F51" s="315"/>
      <c r="G51" s="315"/>
      <c r="H51" s="216"/>
      <c r="I51" s="216"/>
      <c r="J51" s="216"/>
      <c r="K51" s="216"/>
      <c r="L51" s="216"/>
      <c r="M51" s="216"/>
      <c r="N51" s="216"/>
      <c r="O51" s="216"/>
      <c r="P51" s="216"/>
      <c r="Q51" s="216"/>
    </row>
    <row r="52" spans="1:17" x14ac:dyDescent="0.2">
      <c r="A52" s="216"/>
      <c r="B52" s="216"/>
      <c r="C52" s="216"/>
      <c r="D52" s="315"/>
      <c r="E52" s="315"/>
      <c r="F52" s="315"/>
      <c r="G52" s="315"/>
      <c r="H52" s="216"/>
      <c r="I52" s="216"/>
      <c r="J52" s="216"/>
      <c r="K52" s="216"/>
      <c r="L52" s="216"/>
      <c r="M52" s="216"/>
      <c r="N52" s="216"/>
      <c r="O52" s="216"/>
      <c r="P52" s="216"/>
      <c r="Q52" s="216"/>
    </row>
    <row r="53" spans="1:17" x14ac:dyDescent="0.2">
      <c r="A53" s="216"/>
      <c r="B53" s="216"/>
      <c r="C53" s="216"/>
      <c r="D53" s="315"/>
      <c r="E53" s="315"/>
      <c r="F53" s="315"/>
      <c r="G53" s="315"/>
      <c r="H53" s="216"/>
      <c r="I53" s="216"/>
      <c r="J53" s="216"/>
      <c r="K53" s="216"/>
      <c r="L53" s="216"/>
      <c r="M53" s="216"/>
      <c r="N53" s="216"/>
      <c r="O53" s="216"/>
      <c r="P53" s="216"/>
      <c r="Q53" s="216"/>
    </row>
    <row r="54" spans="1:17" x14ac:dyDescent="0.2">
      <c r="A54" s="216"/>
      <c r="B54" s="216"/>
      <c r="C54" s="216"/>
      <c r="D54" s="315"/>
      <c r="E54" s="315"/>
      <c r="F54" s="315"/>
      <c r="G54" s="315"/>
      <c r="H54" s="216"/>
      <c r="I54" s="216"/>
      <c r="J54" s="216"/>
      <c r="K54" s="216"/>
      <c r="L54" s="216"/>
      <c r="M54" s="216"/>
      <c r="N54" s="216"/>
      <c r="O54" s="216"/>
      <c r="P54" s="216"/>
      <c r="Q54" s="216"/>
    </row>
    <row r="55" spans="1:17" x14ac:dyDescent="0.2">
      <c r="A55" s="216"/>
      <c r="B55" s="216"/>
      <c r="C55" s="216"/>
      <c r="D55" s="315"/>
      <c r="E55" s="315"/>
      <c r="F55" s="315"/>
      <c r="G55" s="315"/>
      <c r="H55" s="216"/>
      <c r="I55" s="216"/>
      <c r="J55" s="216"/>
      <c r="K55" s="216"/>
      <c r="L55" s="216"/>
      <c r="M55" s="216"/>
      <c r="N55" s="216"/>
      <c r="O55" s="216"/>
      <c r="P55" s="216"/>
      <c r="Q55" s="216"/>
    </row>
    <row r="56" spans="1:17" x14ac:dyDescent="0.2">
      <c r="A56" s="216"/>
      <c r="B56" s="216"/>
      <c r="C56" s="216"/>
      <c r="D56" s="315"/>
      <c r="E56" s="315"/>
      <c r="F56" s="315"/>
      <c r="G56" s="315"/>
      <c r="H56" s="216"/>
      <c r="I56" s="216"/>
      <c r="J56" s="216"/>
      <c r="K56" s="216"/>
      <c r="L56" s="216"/>
      <c r="M56" s="216"/>
      <c r="N56" s="216"/>
      <c r="O56" s="216"/>
      <c r="P56" s="216"/>
      <c r="Q56" s="216"/>
    </row>
    <row r="57" spans="1:17" x14ac:dyDescent="0.2">
      <c r="A57" s="216"/>
      <c r="B57" s="216"/>
      <c r="C57" s="216"/>
      <c r="D57" s="315"/>
      <c r="E57" s="315"/>
      <c r="F57" s="315"/>
      <c r="G57" s="315"/>
      <c r="H57" s="216"/>
      <c r="I57" s="216"/>
      <c r="J57" s="216"/>
      <c r="K57" s="216"/>
      <c r="L57" s="216"/>
      <c r="M57" s="216"/>
      <c r="N57" s="216"/>
      <c r="O57" s="216"/>
      <c r="P57" s="216"/>
      <c r="Q57" s="216"/>
    </row>
    <row r="58" spans="1:17" x14ac:dyDescent="0.2">
      <c r="A58" s="216"/>
      <c r="B58" s="216"/>
      <c r="C58" s="216"/>
      <c r="D58" s="315"/>
      <c r="E58" s="315"/>
      <c r="F58" s="315"/>
      <c r="G58" s="315"/>
      <c r="H58" s="216"/>
      <c r="I58" s="216"/>
      <c r="J58" s="216"/>
      <c r="K58" s="216"/>
      <c r="L58" s="216"/>
      <c r="M58" s="216"/>
      <c r="N58" s="216"/>
      <c r="O58" s="216"/>
      <c r="P58" s="216"/>
      <c r="Q58" s="216"/>
    </row>
    <row r="59" spans="1:17" x14ac:dyDescent="0.2">
      <c r="A59" s="216"/>
      <c r="B59" s="216"/>
      <c r="C59" s="216"/>
      <c r="D59" s="315"/>
      <c r="E59" s="315"/>
      <c r="F59" s="315"/>
      <c r="G59" s="315"/>
      <c r="H59" s="216"/>
      <c r="I59" s="216"/>
      <c r="J59" s="216"/>
      <c r="K59" s="216"/>
      <c r="L59" s="216"/>
      <c r="M59" s="216"/>
      <c r="N59" s="216"/>
      <c r="O59" s="216"/>
      <c r="P59" s="216"/>
      <c r="Q59" s="216"/>
    </row>
    <row r="60" spans="1:17" x14ac:dyDescent="0.2">
      <c r="A60" s="216"/>
      <c r="B60" s="216"/>
      <c r="C60" s="216"/>
      <c r="D60" s="315"/>
      <c r="E60" s="315"/>
      <c r="F60" s="315"/>
      <c r="G60" s="315"/>
      <c r="H60" s="216"/>
      <c r="I60" s="216"/>
      <c r="J60" s="216"/>
      <c r="K60" s="216"/>
      <c r="L60" s="216"/>
      <c r="M60" s="216"/>
      <c r="N60" s="216"/>
      <c r="O60" s="216"/>
      <c r="P60" s="216"/>
      <c r="Q60" s="216"/>
    </row>
    <row r="61" spans="1:17" x14ac:dyDescent="0.2">
      <c r="A61" s="216"/>
      <c r="B61" s="216"/>
      <c r="C61" s="216"/>
      <c r="D61" s="315"/>
      <c r="E61" s="315"/>
      <c r="F61" s="315"/>
      <c r="G61" s="315"/>
      <c r="H61" s="216"/>
      <c r="I61" s="216"/>
      <c r="J61" s="216"/>
      <c r="K61" s="216"/>
      <c r="L61" s="216"/>
      <c r="M61" s="216"/>
      <c r="N61" s="216"/>
      <c r="O61" s="216"/>
      <c r="P61" s="216"/>
      <c r="Q61" s="216"/>
    </row>
    <row r="62" spans="1:17" x14ac:dyDescent="0.2">
      <c r="A62" s="216"/>
      <c r="B62" s="216"/>
      <c r="C62" s="216"/>
      <c r="F62" s="315"/>
      <c r="G62" s="315"/>
      <c r="H62" s="216"/>
      <c r="I62" s="216"/>
      <c r="J62" s="216"/>
      <c r="K62" s="216"/>
      <c r="L62" s="216"/>
      <c r="M62" s="216"/>
      <c r="N62" s="216"/>
      <c r="O62" s="216"/>
      <c r="P62" s="216"/>
      <c r="Q62" s="216"/>
    </row>
  </sheetData>
  <pageMargins left="0.19685039370078741" right="0.19685039370078741" top="0.19685039370078741" bottom="0.19685039370078741"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J59"/>
  <sheetViews>
    <sheetView showGridLines="0" zoomScaleNormal="100" workbookViewId="0">
      <selection activeCell="H1" sqref="H1"/>
    </sheetView>
  </sheetViews>
  <sheetFormatPr baseColWidth="10" defaultRowHeight="14.25" x14ac:dyDescent="0.2"/>
  <cols>
    <col min="1" max="1" width="9.42578125" style="9" customWidth="1"/>
    <col min="2" max="3" width="8.42578125" style="9" customWidth="1"/>
    <col min="4" max="4" width="8" style="9" customWidth="1"/>
    <col min="5" max="5" width="12.28515625" style="9" customWidth="1"/>
    <col min="6" max="6" width="9.7109375" style="9" customWidth="1"/>
    <col min="7" max="7" width="4.28515625" style="9" customWidth="1"/>
    <col min="8" max="10" width="11.42578125" style="9" customWidth="1"/>
    <col min="11" max="16384" width="11.42578125" style="9"/>
  </cols>
  <sheetData>
    <row r="1" spans="1:10" x14ac:dyDescent="0.2">
      <c r="A1" s="66" t="s">
        <v>107</v>
      </c>
      <c r="B1" s="66"/>
      <c r="H1" s="66" t="s">
        <v>259</v>
      </c>
    </row>
    <row r="2" spans="1:10" s="8" customFormat="1" ht="38.25" customHeight="1" x14ac:dyDescent="0.25">
      <c r="A2" s="259" t="s">
        <v>189</v>
      </c>
      <c r="B2" s="65" t="s">
        <v>28</v>
      </c>
      <c r="C2" s="176" t="s">
        <v>108</v>
      </c>
      <c r="D2" s="65" t="s">
        <v>80</v>
      </c>
      <c r="E2" s="176" t="s">
        <v>192</v>
      </c>
      <c r="F2" s="65" t="s">
        <v>188</v>
      </c>
      <c r="H2" s="65" t="s">
        <v>176</v>
      </c>
      <c r="I2" s="65" t="s">
        <v>221</v>
      </c>
      <c r="J2" s="65" t="s">
        <v>219</v>
      </c>
    </row>
    <row r="3" spans="1:10" ht="12.75" customHeight="1" x14ac:dyDescent="0.2">
      <c r="A3" s="174">
        <v>2000</v>
      </c>
      <c r="B3" s="32">
        <v>789</v>
      </c>
      <c r="C3" s="177">
        <v>711</v>
      </c>
      <c r="D3" s="179">
        <f t="shared" ref="D3:D21" si="0">C3/B3</f>
        <v>0.90114068441064643</v>
      </c>
      <c r="E3" s="177"/>
      <c r="F3" s="179"/>
      <c r="H3" s="264"/>
      <c r="I3" s="32"/>
      <c r="J3" s="265"/>
    </row>
    <row r="4" spans="1:10" ht="12.75" customHeight="1" x14ac:dyDescent="0.2">
      <c r="A4" s="174">
        <v>2001</v>
      </c>
      <c r="B4" s="32">
        <v>858</v>
      </c>
      <c r="C4" s="177">
        <v>745</v>
      </c>
      <c r="D4" s="179">
        <f t="shared" si="0"/>
        <v>0.86829836829836826</v>
      </c>
      <c r="E4" s="177"/>
      <c r="F4" s="179"/>
      <c r="H4" s="264"/>
      <c r="I4" s="32"/>
      <c r="J4" s="265"/>
    </row>
    <row r="5" spans="1:10" ht="12.75" customHeight="1" x14ac:dyDescent="0.2">
      <c r="A5" s="174">
        <v>2002</v>
      </c>
      <c r="B5" s="32">
        <v>837</v>
      </c>
      <c r="C5" s="177">
        <v>799</v>
      </c>
      <c r="D5" s="179">
        <f t="shared" si="0"/>
        <v>0.95459976105137401</v>
      </c>
      <c r="E5" s="177"/>
      <c r="F5" s="179"/>
      <c r="H5" s="264"/>
      <c r="I5" s="32"/>
      <c r="J5" s="265"/>
    </row>
    <row r="6" spans="1:10" ht="12.75" customHeight="1" x14ac:dyDescent="0.2">
      <c r="A6" s="174">
        <v>2003</v>
      </c>
      <c r="B6" s="32">
        <v>957</v>
      </c>
      <c r="C6" s="177">
        <v>836</v>
      </c>
      <c r="D6" s="179">
        <f t="shared" si="0"/>
        <v>0.87356321839080464</v>
      </c>
      <c r="E6" s="177"/>
      <c r="F6" s="179"/>
      <c r="H6" s="264"/>
      <c r="I6" s="32"/>
      <c r="J6" s="265"/>
    </row>
    <row r="7" spans="1:10" ht="12.75" customHeight="1" x14ac:dyDescent="0.2">
      <c r="A7" s="174">
        <v>2004</v>
      </c>
      <c r="B7" s="32">
        <v>1071</v>
      </c>
      <c r="C7" s="177">
        <v>979</v>
      </c>
      <c r="D7" s="179">
        <f t="shared" si="0"/>
        <v>0.91409897292250231</v>
      </c>
      <c r="E7" s="177"/>
      <c r="F7" s="179"/>
      <c r="H7" s="264"/>
      <c r="I7" s="32"/>
      <c r="J7" s="265"/>
    </row>
    <row r="8" spans="1:10" ht="12.75" customHeight="1" x14ac:dyDescent="0.2">
      <c r="A8" s="174">
        <v>2005</v>
      </c>
      <c r="B8" s="32">
        <v>1130</v>
      </c>
      <c r="C8" s="177">
        <v>1052</v>
      </c>
      <c r="D8" s="179">
        <f t="shared" si="0"/>
        <v>0.93097345132743359</v>
      </c>
      <c r="E8" s="177"/>
      <c r="F8" s="179"/>
      <c r="H8" s="264"/>
      <c r="I8" s="32"/>
      <c r="J8" s="265"/>
    </row>
    <row r="9" spans="1:10" ht="12.75" customHeight="1" x14ac:dyDescent="0.2">
      <c r="A9" s="174">
        <v>2006</v>
      </c>
      <c r="B9" s="32">
        <v>1171</v>
      </c>
      <c r="C9" s="177">
        <v>1097</v>
      </c>
      <c r="D9" s="179">
        <f t="shared" si="0"/>
        <v>0.93680614859094791</v>
      </c>
      <c r="E9" s="177"/>
      <c r="F9" s="179"/>
      <c r="H9" s="264"/>
      <c r="I9" s="32"/>
      <c r="J9" s="265"/>
    </row>
    <row r="10" spans="1:10" ht="12.75" customHeight="1" x14ac:dyDescent="0.2">
      <c r="A10" s="174">
        <v>2007</v>
      </c>
      <c r="B10" s="32">
        <v>1218</v>
      </c>
      <c r="C10" s="177">
        <v>1144</v>
      </c>
      <c r="D10" s="179">
        <f t="shared" si="0"/>
        <v>0.93924466338259438</v>
      </c>
      <c r="E10" s="177"/>
      <c r="F10" s="179"/>
      <c r="H10" s="264"/>
      <c r="I10" s="32"/>
      <c r="J10" s="265"/>
    </row>
    <row r="11" spans="1:10" ht="12.75" customHeight="1" x14ac:dyDescent="0.2">
      <c r="A11" s="174">
        <v>2008</v>
      </c>
      <c r="B11" s="32">
        <v>1351</v>
      </c>
      <c r="C11" s="177">
        <v>1256</v>
      </c>
      <c r="D11" s="179">
        <f t="shared" si="0"/>
        <v>0.92968171724648407</v>
      </c>
      <c r="E11" s="177"/>
      <c r="F11" s="179"/>
      <c r="H11" s="264"/>
      <c r="I11" s="32"/>
      <c r="J11" s="265"/>
    </row>
    <row r="12" spans="1:10" ht="12.75" customHeight="1" x14ac:dyDescent="0.2">
      <c r="A12" s="174">
        <v>2009</v>
      </c>
      <c r="B12" s="32">
        <v>1354</v>
      </c>
      <c r="C12" s="177">
        <v>1200</v>
      </c>
      <c r="D12" s="179">
        <f>C12/B12</f>
        <v>0.88626292466765144</v>
      </c>
      <c r="E12" s="177"/>
      <c r="F12" s="179"/>
      <c r="H12" s="264" t="s">
        <v>166</v>
      </c>
      <c r="I12" s="32">
        <v>19769</v>
      </c>
      <c r="J12" s="265">
        <v>1203</v>
      </c>
    </row>
    <row r="13" spans="1:10" ht="12.75" customHeight="1" x14ac:dyDescent="0.2">
      <c r="A13" s="174">
        <v>2010</v>
      </c>
      <c r="B13" s="32">
        <v>1644</v>
      </c>
      <c r="C13" s="177">
        <v>1200</v>
      </c>
      <c r="D13" s="179">
        <f t="shared" si="0"/>
        <v>0.72992700729927007</v>
      </c>
      <c r="E13" s="177"/>
      <c r="F13" s="179"/>
      <c r="H13" s="264" t="s">
        <v>167</v>
      </c>
      <c r="I13" s="32">
        <v>19182</v>
      </c>
      <c r="J13" s="265">
        <v>1214</v>
      </c>
    </row>
    <row r="14" spans="1:10" ht="12.75" customHeight="1" x14ac:dyDescent="0.2">
      <c r="A14" s="174">
        <v>2011</v>
      </c>
      <c r="B14" s="33">
        <v>1750</v>
      </c>
      <c r="C14" s="173">
        <v>1300</v>
      </c>
      <c r="D14" s="179">
        <f t="shared" si="0"/>
        <v>0.74285714285714288</v>
      </c>
      <c r="E14" s="173"/>
      <c r="F14" s="179"/>
      <c r="H14" s="264" t="s">
        <v>168</v>
      </c>
      <c r="I14" s="33">
        <v>18232</v>
      </c>
      <c r="J14" s="266">
        <v>1145</v>
      </c>
    </row>
    <row r="15" spans="1:10" ht="12.75" customHeight="1" x14ac:dyDescent="0.2">
      <c r="A15" s="174">
        <v>2012</v>
      </c>
      <c r="B15" s="33">
        <v>1665</v>
      </c>
      <c r="C15" s="173">
        <v>1378</v>
      </c>
      <c r="D15" s="179">
        <f t="shared" si="0"/>
        <v>0.82762762762762765</v>
      </c>
      <c r="E15" s="173"/>
      <c r="F15" s="179"/>
      <c r="H15" s="264" t="s">
        <v>169</v>
      </c>
      <c r="I15" s="33">
        <v>19031</v>
      </c>
      <c r="J15" s="266">
        <v>1225</v>
      </c>
    </row>
    <row r="16" spans="1:10" ht="12.75" customHeight="1" x14ac:dyDescent="0.2">
      <c r="A16" s="172">
        <v>2013</v>
      </c>
      <c r="B16" s="33">
        <v>1575</v>
      </c>
      <c r="C16" s="173">
        <v>1237</v>
      </c>
      <c r="D16" s="180">
        <f t="shared" si="0"/>
        <v>0.78539682539682543</v>
      </c>
      <c r="E16" s="173">
        <v>431</v>
      </c>
      <c r="F16" s="180">
        <f>E16/C16</f>
        <v>0.34842360549717055</v>
      </c>
      <c r="H16" s="267" t="s">
        <v>170</v>
      </c>
      <c r="I16" s="33">
        <v>18103</v>
      </c>
      <c r="J16" s="266">
        <v>1125</v>
      </c>
    </row>
    <row r="17" spans="1:10" ht="12.75" customHeight="1" x14ac:dyDescent="0.2">
      <c r="A17" s="172">
        <v>2014</v>
      </c>
      <c r="B17" s="33">
        <v>1511</v>
      </c>
      <c r="C17" s="173">
        <v>1371</v>
      </c>
      <c r="D17" s="180">
        <f t="shared" si="0"/>
        <v>0.90734612839179352</v>
      </c>
      <c r="E17" s="173">
        <v>506.00000000000006</v>
      </c>
      <c r="F17" s="180">
        <f t="shared" ref="F17:F22" si="1">E17/C17</f>
        <v>0.36907366885485049</v>
      </c>
      <c r="H17" s="267" t="s">
        <v>171</v>
      </c>
      <c r="I17" s="33">
        <v>17262</v>
      </c>
      <c r="J17" s="266">
        <v>1160</v>
      </c>
    </row>
    <row r="18" spans="1:10" ht="12.75" customHeight="1" x14ac:dyDescent="0.2">
      <c r="A18" s="172">
        <v>2015</v>
      </c>
      <c r="B18" s="33">
        <v>1542</v>
      </c>
      <c r="C18" s="173">
        <v>1383</v>
      </c>
      <c r="D18" s="180">
        <f t="shared" si="0"/>
        <v>0.89688715953307396</v>
      </c>
      <c r="E18" s="173">
        <v>485</v>
      </c>
      <c r="F18" s="180">
        <f t="shared" si="1"/>
        <v>0.35068691250903833</v>
      </c>
      <c r="H18" s="267" t="s">
        <v>172</v>
      </c>
      <c r="I18" s="33">
        <v>17158</v>
      </c>
      <c r="J18" s="266">
        <v>1115</v>
      </c>
    </row>
    <row r="19" spans="1:10" ht="12.75" customHeight="1" x14ac:dyDescent="0.2">
      <c r="A19" s="172" t="s">
        <v>48</v>
      </c>
      <c r="B19" s="33">
        <v>1641</v>
      </c>
      <c r="C19" s="173">
        <v>1377</v>
      </c>
      <c r="D19" s="180">
        <f t="shared" si="0"/>
        <v>0.83912248628884822</v>
      </c>
      <c r="E19" s="173">
        <v>525</v>
      </c>
      <c r="F19" s="180">
        <f t="shared" si="1"/>
        <v>0.38126361655773422</v>
      </c>
      <c r="H19" s="267" t="s">
        <v>173</v>
      </c>
      <c r="I19" s="33">
        <v>16847</v>
      </c>
      <c r="J19" s="266">
        <v>1122</v>
      </c>
    </row>
    <row r="20" spans="1:10" ht="12.75" customHeight="1" x14ac:dyDescent="0.2">
      <c r="A20" s="172" t="s">
        <v>49</v>
      </c>
      <c r="B20" s="33">
        <v>1813</v>
      </c>
      <c r="C20" s="173">
        <v>1433</v>
      </c>
      <c r="D20" s="180">
        <f t="shared" si="0"/>
        <v>0.79040264754550471</v>
      </c>
      <c r="E20" s="173">
        <v>543</v>
      </c>
      <c r="F20" s="180">
        <f t="shared" si="1"/>
        <v>0.37892533147243546</v>
      </c>
      <c r="H20" s="267" t="s">
        <v>174</v>
      </c>
      <c r="I20" s="33">
        <v>16827</v>
      </c>
      <c r="J20" s="266">
        <v>1244</v>
      </c>
    </row>
    <row r="21" spans="1:10" ht="12.75" customHeight="1" x14ac:dyDescent="0.2">
      <c r="A21" s="172" t="s">
        <v>136</v>
      </c>
      <c r="B21" s="33">
        <v>1924</v>
      </c>
      <c r="C21" s="173">
        <v>1500</v>
      </c>
      <c r="D21" s="180">
        <f t="shared" si="0"/>
        <v>0.77962577962577961</v>
      </c>
      <c r="E21" s="173">
        <v>576</v>
      </c>
      <c r="F21" s="180">
        <f t="shared" si="1"/>
        <v>0.38400000000000001</v>
      </c>
      <c r="H21" s="268" t="s">
        <v>175</v>
      </c>
      <c r="I21" s="269">
        <v>16039</v>
      </c>
      <c r="J21" s="270">
        <v>1165</v>
      </c>
    </row>
    <row r="22" spans="1:10" ht="12.75" customHeight="1" x14ac:dyDescent="0.2">
      <c r="A22" s="260" t="s">
        <v>140</v>
      </c>
      <c r="B22" s="261">
        <v>2022</v>
      </c>
      <c r="C22" s="262">
        <v>1450</v>
      </c>
      <c r="D22" s="263">
        <f>C22/B22</f>
        <v>0.71711177052423347</v>
      </c>
      <c r="E22" s="262">
        <v>530</v>
      </c>
      <c r="F22" s="263">
        <f t="shared" si="1"/>
        <v>0.36551724137931035</v>
      </c>
      <c r="H22" s="257" t="s">
        <v>185</v>
      </c>
    </row>
    <row r="23" spans="1:10" ht="24" customHeight="1" x14ac:dyDescent="0.2">
      <c r="A23" s="175" t="s">
        <v>148</v>
      </c>
      <c r="B23" s="157">
        <f>SUM(B3:B22)</f>
        <v>27823</v>
      </c>
      <c r="C23" s="178">
        <f>SUM(C3:C22)</f>
        <v>23448</v>
      </c>
      <c r="D23" s="181">
        <f>C23/B23</f>
        <v>0.84275599324300043</v>
      </c>
      <c r="E23" s="178">
        <f>SUM(E16:E22)</f>
        <v>3596</v>
      </c>
      <c r="F23" s="181"/>
      <c r="H23" s="271" t="s">
        <v>190</v>
      </c>
    </row>
    <row r="24" spans="1:10" ht="24" customHeight="1" x14ac:dyDescent="0.2">
      <c r="A24" s="436" t="s">
        <v>194</v>
      </c>
      <c r="B24" s="436"/>
      <c r="C24" s="436"/>
      <c r="D24" s="436"/>
      <c r="E24" s="436"/>
      <c r="F24" s="436"/>
      <c r="H24" s="257" t="s">
        <v>191</v>
      </c>
    </row>
    <row r="25" spans="1:10" ht="14.25" customHeight="1" x14ac:dyDescent="0.2">
      <c r="A25" s="435" t="s">
        <v>124</v>
      </c>
      <c r="B25" s="435"/>
      <c r="C25" s="435"/>
      <c r="D25" s="435"/>
      <c r="E25" s="435"/>
      <c r="G25" s="243"/>
      <c r="H25" s="257" t="s">
        <v>220</v>
      </c>
    </row>
    <row r="59" spans="2:2" x14ac:dyDescent="0.2">
      <c r="B59" s="182"/>
    </row>
  </sheetData>
  <mergeCells count="2">
    <mergeCell ref="A25:E25"/>
    <mergeCell ref="A24:F24"/>
  </mergeCells>
  <phoneticPr fontId="45" type="noConversion"/>
  <pageMargins left="0.23622047244094491" right="0" top="0.35433070866141736" bottom="0.35433070866141736" header="0" footer="0.31496062992125984"/>
  <pageSetup paperSize="9" scale="57" orientation="landscape" r:id="rId1"/>
  <ignoredErrors>
    <ignoredError sqref="A19:A22" numberStoredAsText="1"/>
  </ignoredError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U57"/>
  <sheetViews>
    <sheetView showGridLines="0" zoomScale="90" zoomScaleNormal="90" workbookViewId="0">
      <selection activeCell="A16" sqref="A16"/>
    </sheetView>
  </sheetViews>
  <sheetFormatPr baseColWidth="10" defaultRowHeight="12.75" x14ac:dyDescent="0.2"/>
  <cols>
    <col min="1" max="1" width="27" customWidth="1"/>
    <col min="2" max="9" width="8.7109375" customWidth="1"/>
    <col min="10" max="10" width="9.7109375" customWidth="1"/>
    <col min="11" max="11" width="9.140625" customWidth="1"/>
    <col min="12" max="12" width="10.140625" customWidth="1"/>
    <col min="13" max="13" width="27" customWidth="1"/>
    <col min="14" max="15" width="7.85546875" customWidth="1"/>
    <col min="16" max="16" width="14.5703125" customWidth="1"/>
    <col min="17" max="18" width="10.140625" customWidth="1"/>
    <col min="19" max="19" width="11.5703125" customWidth="1"/>
    <col min="20" max="20" width="11.5703125" style="27" customWidth="1"/>
  </cols>
  <sheetData>
    <row r="1" spans="2:9" x14ac:dyDescent="0.2">
      <c r="B1" s="4"/>
      <c r="C1" s="4"/>
      <c r="D1" s="4"/>
      <c r="E1" s="4"/>
      <c r="F1" s="4"/>
      <c r="G1" s="4"/>
      <c r="H1" s="4"/>
      <c r="I1" s="4"/>
    </row>
    <row r="27" spans="1:21" ht="15" x14ac:dyDescent="0.2">
      <c r="A27" s="26"/>
      <c r="K27" s="17"/>
      <c r="L27" s="17"/>
      <c r="M27" s="5" t="s">
        <v>122</v>
      </c>
    </row>
    <row r="28" spans="1:21" ht="54" customHeight="1" x14ac:dyDescent="0.2">
      <c r="A28" s="5" t="s">
        <v>133</v>
      </c>
      <c r="B28" s="17"/>
      <c r="C28" s="17"/>
      <c r="D28" s="17"/>
      <c r="E28" s="17"/>
      <c r="M28" s="132"/>
      <c r="N28" s="439" t="s">
        <v>108</v>
      </c>
      <c r="O28" s="439"/>
      <c r="P28" s="440" t="s">
        <v>235</v>
      </c>
      <c r="Q28" s="437" t="s">
        <v>164</v>
      </c>
      <c r="R28" s="437" t="s">
        <v>236</v>
      </c>
      <c r="S28" s="437" t="s">
        <v>164</v>
      </c>
      <c r="T28" s="340"/>
    </row>
    <row r="29" spans="1:21" x14ac:dyDescent="0.2">
      <c r="A29" s="34" t="s">
        <v>101</v>
      </c>
      <c r="B29" s="35">
        <v>2012</v>
      </c>
      <c r="C29" s="36">
        <v>2013</v>
      </c>
      <c r="D29" s="36">
        <v>2014</v>
      </c>
      <c r="E29" s="36">
        <v>2015</v>
      </c>
      <c r="F29" s="36">
        <v>2016</v>
      </c>
      <c r="G29" s="36">
        <v>2017</v>
      </c>
      <c r="H29" s="36">
        <v>2018</v>
      </c>
      <c r="I29" s="185">
        <v>2019</v>
      </c>
      <c r="J29" s="185" t="s">
        <v>141</v>
      </c>
      <c r="K29" s="185" t="s">
        <v>142</v>
      </c>
      <c r="M29" s="34" t="s">
        <v>101</v>
      </c>
      <c r="N29" s="131">
        <v>2012</v>
      </c>
      <c r="O29" s="131">
        <f>H29</f>
        <v>2018</v>
      </c>
      <c r="P29" s="440"/>
      <c r="Q29" s="437"/>
      <c r="R29" s="437"/>
      <c r="S29" s="437"/>
      <c r="T29" s="340"/>
    </row>
    <row r="30" spans="1:21" x14ac:dyDescent="0.2">
      <c r="A30" s="89" t="s">
        <v>10</v>
      </c>
      <c r="B30" s="37">
        <f>48+28</f>
        <v>76</v>
      </c>
      <c r="C30" s="38">
        <v>101</v>
      </c>
      <c r="D30" s="38">
        <v>71</v>
      </c>
      <c r="E30" s="38">
        <v>88</v>
      </c>
      <c r="F30" s="38">
        <v>62</v>
      </c>
      <c r="G30" s="38">
        <v>68</v>
      </c>
      <c r="H30" s="38">
        <v>67</v>
      </c>
      <c r="I30" s="42">
        <v>78</v>
      </c>
      <c r="J30" s="82">
        <v>61</v>
      </c>
      <c r="K30" s="82">
        <v>17</v>
      </c>
      <c r="M30" s="89" t="s">
        <v>10</v>
      </c>
      <c r="N30" s="41">
        <f t="shared" ref="N30:N39" si="0">B30/$B$40</f>
        <v>5.5596196049743966E-2</v>
      </c>
      <c r="O30" s="41">
        <f t="shared" ref="O30:O39" si="1">H30/H$40</f>
        <v>4.4666666666666667E-2</v>
      </c>
      <c r="P30" s="245">
        <v>3.2757989036891623E-2</v>
      </c>
      <c r="Q30" s="3">
        <f t="shared" ref="Q30:Q40" si="2">O30-P30</f>
        <v>1.1908677629775044E-2</v>
      </c>
      <c r="R30" s="3">
        <f>(G30+H30)/(G$40+H$40)</f>
        <v>4.6027957722468461E-2</v>
      </c>
      <c r="S30" s="3">
        <f>R30-P30</f>
        <v>1.3269968685576838E-2</v>
      </c>
      <c r="T30" s="341"/>
      <c r="U30" s="272"/>
    </row>
    <row r="31" spans="1:21" x14ac:dyDescent="0.2">
      <c r="A31" s="89" t="s">
        <v>11</v>
      </c>
      <c r="B31" s="37">
        <f>12+8</f>
        <v>20</v>
      </c>
      <c r="C31" s="38">
        <v>21</v>
      </c>
      <c r="D31" s="38">
        <v>24</v>
      </c>
      <c r="E31" s="38">
        <v>24</v>
      </c>
      <c r="F31" s="38">
        <v>13</v>
      </c>
      <c r="G31" s="38">
        <v>17</v>
      </c>
      <c r="H31" s="38">
        <v>22</v>
      </c>
      <c r="I31" s="42">
        <v>19</v>
      </c>
      <c r="J31" s="82">
        <v>9</v>
      </c>
      <c r="K31" s="82">
        <v>10</v>
      </c>
      <c r="M31" s="89" t="s">
        <v>11</v>
      </c>
      <c r="N31" s="41">
        <f t="shared" si="0"/>
        <v>1.4630577907827359E-2</v>
      </c>
      <c r="O31" s="41">
        <f t="shared" si="1"/>
        <v>1.4666666666666666E-2</v>
      </c>
      <c r="P31" s="245">
        <v>4.9209564033262598E-2</v>
      </c>
      <c r="Q31" s="3">
        <f t="shared" si="2"/>
        <v>-3.454289736659593E-2</v>
      </c>
      <c r="R31" s="3">
        <f t="shared" ref="R31:R48" si="3">(G31+H31)/(G$40+H$40)</f>
        <v>1.3296965564268667E-2</v>
      </c>
      <c r="S31" s="3">
        <f t="shared" ref="S31:S47" si="4">R31-P31</f>
        <v>-3.5912598468993931E-2</v>
      </c>
      <c r="T31" s="341"/>
      <c r="U31" s="272"/>
    </row>
    <row r="32" spans="1:21" x14ac:dyDescent="0.2">
      <c r="A32" s="89" t="s">
        <v>9</v>
      </c>
      <c r="B32" s="37">
        <v>26</v>
      </c>
      <c r="C32" s="38">
        <v>12</v>
      </c>
      <c r="D32" s="38">
        <v>12</v>
      </c>
      <c r="E32" s="38">
        <v>16</v>
      </c>
      <c r="F32" s="38">
        <v>14</v>
      </c>
      <c r="G32" s="38">
        <v>15</v>
      </c>
      <c r="H32" s="38">
        <v>16</v>
      </c>
      <c r="I32" s="42">
        <v>14</v>
      </c>
      <c r="J32" s="82">
        <v>10</v>
      </c>
      <c r="K32" s="82">
        <v>4</v>
      </c>
      <c r="M32" s="89" t="s">
        <v>9</v>
      </c>
      <c r="N32" s="41">
        <f t="shared" si="0"/>
        <v>1.9019751280175568E-2</v>
      </c>
      <c r="O32" s="41">
        <f t="shared" si="1"/>
        <v>1.0666666666666666E-2</v>
      </c>
      <c r="P32" s="245">
        <v>2.9205001831793014E-2</v>
      </c>
      <c r="Q32" s="3">
        <f t="shared" si="2"/>
        <v>-1.8538335165126346E-2</v>
      </c>
      <c r="R32" s="3">
        <f t="shared" si="3"/>
        <v>1.0569382884418685E-2</v>
      </c>
      <c r="S32" s="3">
        <f t="shared" si="4"/>
        <v>-1.8635618947374331E-2</v>
      </c>
      <c r="T32" s="341"/>
      <c r="U32" s="272"/>
    </row>
    <row r="33" spans="1:21" x14ac:dyDescent="0.2">
      <c r="A33" s="89" t="s">
        <v>30</v>
      </c>
      <c r="B33" s="37">
        <f>107+73</f>
        <v>180</v>
      </c>
      <c r="C33" s="38">
        <v>142</v>
      </c>
      <c r="D33" s="38">
        <v>178</v>
      </c>
      <c r="E33" s="38">
        <v>171</v>
      </c>
      <c r="F33" s="38">
        <v>186</v>
      </c>
      <c r="G33" s="38">
        <v>174</v>
      </c>
      <c r="H33" s="38">
        <v>165</v>
      </c>
      <c r="I33" s="42">
        <v>168</v>
      </c>
      <c r="J33" s="82">
        <v>96</v>
      </c>
      <c r="K33" s="82">
        <v>72</v>
      </c>
      <c r="M33" s="89" t="s">
        <v>30</v>
      </c>
      <c r="N33" s="41">
        <f t="shared" si="0"/>
        <v>0.13167520117044623</v>
      </c>
      <c r="O33" s="41">
        <f t="shared" si="1"/>
        <v>0.11</v>
      </c>
      <c r="P33" s="245">
        <v>6.0435344619021614E-2</v>
      </c>
      <c r="Q33" s="3">
        <f t="shared" si="2"/>
        <v>4.9564655380978387E-2</v>
      </c>
      <c r="R33" s="3">
        <f t="shared" si="3"/>
        <v>0.11558131605864302</v>
      </c>
      <c r="S33" s="3">
        <f t="shared" si="4"/>
        <v>5.5145971439621411E-2</v>
      </c>
      <c r="T33" s="341"/>
      <c r="U33" s="272"/>
    </row>
    <row r="34" spans="1:21" x14ac:dyDescent="0.2">
      <c r="A34" s="89" t="s">
        <v>4</v>
      </c>
      <c r="B34" s="37">
        <f>141+131</f>
        <v>272</v>
      </c>
      <c r="C34" s="38">
        <v>247</v>
      </c>
      <c r="D34" s="38">
        <v>266</v>
      </c>
      <c r="E34" s="38">
        <v>265</v>
      </c>
      <c r="F34" s="38">
        <v>263</v>
      </c>
      <c r="G34" s="38">
        <v>269</v>
      </c>
      <c r="H34" s="38">
        <v>256</v>
      </c>
      <c r="I34" s="42">
        <v>286</v>
      </c>
      <c r="J34" s="82">
        <v>208</v>
      </c>
      <c r="K34" s="82">
        <v>78</v>
      </c>
      <c r="M34" s="89" t="s">
        <v>4</v>
      </c>
      <c r="N34" s="41">
        <f t="shared" si="0"/>
        <v>0.19897585954645208</v>
      </c>
      <c r="O34" s="41">
        <f t="shared" si="1"/>
        <v>0.17066666666666666</v>
      </c>
      <c r="P34" s="245">
        <v>9.7707148140211655E-2</v>
      </c>
      <c r="Q34" s="3">
        <f t="shared" si="2"/>
        <v>7.2959518526455006E-2</v>
      </c>
      <c r="R34" s="3">
        <f t="shared" si="3"/>
        <v>0.17899761336515513</v>
      </c>
      <c r="S34" s="3">
        <f t="shared" si="4"/>
        <v>8.1290465224943473E-2</v>
      </c>
      <c r="T34" s="341"/>
      <c r="U34" s="272"/>
    </row>
    <row r="35" spans="1:21" x14ac:dyDescent="0.2">
      <c r="A35" s="89" t="s">
        <v>14</v>
      </c>
      <c r="B35" s="37">
        <f>143+151</f>
        <v>294</v>
      </c>
      <c r="C35" s="38">
        <v>274</v>
      </c>
      <c r="D35" s="38">
        <v>269</v>
      </c>
      <c r="E35" s="38">
        <v>288</v>
      </c>
      <c r="F35" s="38">
        <v>282</v>
      </c>
      <c r="G35" s="38">
        <v>334</v>
      </c>
      <c r="H35" s="38">
        <v>349</v>
      </c>
      <c r="I35" s="42">
        <v>325</v>
      </c>
      <c r="J35" s="82">
        <v>257</v>
      </c>
      <c r="K35" s="82">
        <v>68</v>
      </c>
      <c r="M35" s="89" t="s">
        <v>14</v>
      </c>
      <c r="N35" s="41">
        <f t="shared" si="0"/>
        <v>0.21506949524506219</v>
      </c>
      <c r="O35" s="41">
        <f t="shared" si="1"/>
        <v>0.23266666666666666</v>
      </c>
      <c r="P35" s="245">
        <v>9.0863845935838863E-2</v>
      </c>
      <c r="Q35" s="3">
        <f t="shared" si="2"/>
        <v>0.14180282073082778</v>
      </c>
      <c r="R35" s="3">
        <f t="shared" si="3"/>
        <v>0.23286737129219229</v>
      </c>
      <c r="S35" s="3">
        <f t="shared" si="4"/>
        <v>0.14200352535635341</v>
      </c>
      <c r="T35" s="341"/>
      <c r="U35" s="272"/>
    </row>
    <row r="36" spans="1:21" x14ac:dyDescent="0.2">
      <c r="A36" s="89" t="s">
        <v>13</v>
      </c>
      <c r="B36" s="37">
        <f>68+113</f>
        <v>181</v>
      </c>
      <c r="C36" s="38">
        <v>147</v>
      </c>
      <c r="D36" s="38">
        <v>163</v>
      </c>
      <c r="E36" s="38">
        <v>173</v>
      </c>
      <c r="F36" s="38">
        <v>209</v>
      </c>
      <c r="G36" s="38">
        <v>209</v>
      </c>
      <c r="H36" s="38">
        <v>211</v>
      </c>
      <c r="I36" s="42">
        <v>208</v>
      </c>
      <c r="J36" s="82">
        <v>118</v>
      </c>
      <c r="K36" s="82">
        <v>90</v>
      </c>
      <c r="M36" s="89" t="s">
        <v>13</v>
      </c>
      <c r="N36" s="41">
        <f t="shared" si="0"/>
        <v>0.13240673006583761</v>
      </c>
      <c r="O36" s="41">
        <f t="shared" si="1"/>
        <v>0.14066666666666666</v>
      </c>
      <c r="P36" s="245">
        <v>0.28899472581860408</v>
      </c>
      <c r="Q36" s="3">
        <f t="shared" si="2"/>
        <v>-0.14832805915193742</v>
      </c>
      <c r="R36" s="3">
        <f t="shared" si="3"/>
        <v>0.14319809069212411</v>
      </c>
      <c r="S36" s="3">
        <f t="shared" si="4"/>
        <v>-0.14579663512647997</v>
      </c>
      <c r="T36" s="341"/>
      <c r="U36" s="272"/>
    </row>
    <row r="37" spans="1:21" x14ac:dyDescent="0.2">
      <c r="A37" s="89" t="s">
        <v>8</v>
      </c>
      <c r="B37" s="37">
        <f>55+102</f>
        <v>157</v>
      </c>
      <c r="C37" s="38">
        <v>158</v>
      </c>
      <c r="D37" s="38">
        <v>173</v>
      </c>
      <c r="E37" s="38">
        <v>170</v>
      </c>
      <c r="F37" s="38">
        <v>162</v>
      </c>
      <c r="G37" s="38">
        <v>156</v>
      </c>
      <c r="H37" s="38">
        <v>211</v>
      </c>
      <c r="I37" s="42">
        <v>162</v>
      </c>
      <c r="J37" s="82">
        <v>77</v>
      </c>
      <c r="K37" s="82">
        <v>85</v>
      </c>
      <c r="M37" s="89" t="s">
        <v>8</v>
      </c>
      <c r="N37" s="41">
        <f t="shared" si="0"/>
        <v>0.11485003657644477</v>
      </c>
      <c r="O37" s="41">
        <f t="shared" si="1"/>
        <v>0.14066666666666666</v>
      </c>
      <c r="P37" s="245">
        <v>0.18320695113605728</v>
      </c>
      <c r="Q37" s="3">
        <f t="shared" si="2"/>
        <v>-4.2540284469390621E-2</v>
      </c>
      <c r="R37" s="3">
        <f t="shared" si="3"/>
        <v>0.12512785543811797</v>
      </c>
      <c r="S37" s="3">
        <f t="shared" si="4"/>
        <v>-5.8079095697939315E-2</v>
      </c>
      <c r="T37" s="341"/>
      <c r="U37" s="272"/>
    </row>
    <row r="38" spans="1:21" x14ac:dyDescent="0.2">
      <c r="A38" s="89" t="s">
        <v>12</v>
      </c>
      <c r="B38" s="37">
        <f>39+44</f>
        <v>83</v>
      </c>
      <c r="C38" s="38">
        <v>81</v>
      </c>
      <c r="D38" s="38">
        <v>124</v>
      </c>
      <c r="E38" s="38">
        <v>118</v>
      </c>
      <c r="F38" s="38">
        <v>111</v>
      </c>
      <c r="G38" s="38">
        <v>104</v>
      </c>
      <c r="H38" s="38">
        <v>136</v>
      </c>
      <c r="I38" s="42">
        <v>118</v>
      </c>
      <c r="J38" s="82">
        <v>55</v>
      </c>
      <c r="K38" s="82">
        <v>63</v>
      </c>
      <c r="M38" s="89" t="s">
        <v>12</v>
      </c>
      <c r="N38" s="41">
        <f t="shared" si="0"/>
        <v>6.0716898317483538E-2</v>
      </c>
      <c r="O38" s="41">
        <f t="shared" si="1"/>
        <v>9.0666666666666673E-2</v>
      </c>
      <c r="P38" s="245">
        <v>0.13920244423399947</v>
      </c>
      <c r="Q38" s="3">
        <f t="shared" si="2"/>
        <v>-4.8535777567332794E-2</v>
      </c>
      <c r="R38" s="3">
        <f t="shared" si="3"/>
        <v>8.1827480395499488E-2</v>
      </c>
      <c r="S38" s="3">
        <f t="shared" si="4"/>
        <v>-5.7374963838499979E-2</v>
      </c>
      <c r="T38" s="341"/>
      <c r="U38" s="272"/>
    </row>
    <row r="39" spans="1:21" ht="12.75" customHeight="1" thickBot="1" x14ac:dyDescent="0.25">
      <c r="A39" s="100" t="s">
        <v>29</v>
      </c>
      <c r="B39" s="101">
        <f>42+36</f>
        <v>78</v>
      </c>
      <c r="C39" s="102">
        <v>54</v>
      </c>
      <c r="D39" s="102">
        <v>72</v>
      </c>
      <c r="E39" s="102">
        <v>70</v>
      </c>
      <c r="F39" s="102">
        <v>75</v>
      </c>
      <c r="G39" s="102">
        <v>87</v>
      </c>
      <c r="H39" s="102">
        <v>67</v>
      </c>
      <c r="I39" s="183">
        <v>72</v>
      </c>
      <c r="J39" s="111">
        <v>29</v>
      </c>
      <c r="K39" s="111">
        <v>43</v>
      </c>
      <c r="M39" s="100" t="s">
        <v>29</v>
      </c>
      <c r="N39" s="107">
        <f t="shared" si="0"/>
        <v>5.7059253840526701E-2</v>
      </c>
      <c r="O39" s="107">
        <f t="shared" si="1"/>
        <v>4.4666666666666667E-2</v>
      </c>
      <c r="P39" s="246">
        <v>2.8416985214319783E-2</v>
      </c>
      <c r="Q39" s="108">
        <f t="shared" si="2"/>
        <v>1.6249681452346884E-2</v>
      </c>
      <c r="R39" s="107">
        <f t="shared" si="3"/>
        <v>5.2505966587112173E-2</v>
      </c>
      <c r="S39" s="107">
        <f t="shared" si="4"/>
        <v>2.408898137279239E-2</v>
      </c>
      <c r="T39" s="341"/>
      <c r="U39" s="272"/>
    </row>
    <row r="40" spans="1:21" x14ac:dyDescent="0.2">
      <c r="A40" s="99" t="s">
        <v>15</v>
      </c>
      <c r="B40" s="95">
        <f t="shared" ref="B40:G40" si="5">SUM(B30:B39)</f>
        <v>1367</v>
      </c>
      <c r="C40" s="95">
        <f t="shared" si="5"/>
        <v>1237</v>
      </c>
      <c r="D40" s="95">
        <f t="shared" si="5"/>
        <v>1352</v>
      </c>
      <c r="E40" s="95">
        <f t="shared" si="5"/>
        <v>1383</v>
      </c>
      <c r="F40" s="95">
        <f t="shared" si="5"/>
        <v>1377</v>
      </c>
      <c r="G40" s="95">
        <f t="shared" si="5"/>
        <v>1433</v>
      </c>
      <c r="H40" s="95">
        <v>1500</v>
      </c>
      <c r="I40" s="184">
        <f>SUM(I30:I39)</f>
        <v>1450</v>
      </c>
      <c r="J40" s="184">
        <f t="shared" ref="J40:K40" si="6">SUM(J30:J39)</f>
        <v>920</v>
      </c>
      <c r="K40" s="184">
        <f t="shared" si="6"/>
        <v>530</v>
      </c>
      <c r="M40" s="99" t="s">
        <v>15</v>
      </c>
      <c r="N40" s="106">
        <f>SUM(N30:N39)</f>
        <v>1</v>
      </c>
      <c r="O40" s="106">
        <f>SUM(O30:O39)</f>
        <v>1</v>
      </c>
      <c r="P40" s="247">
        <v>1</v>
      </c>
      <c r="Q40" s="106">
        <f t="shared" si="2"/>
        <v>0</v>
      </c>
      <c r="R40" s="106">
        <f t="shared" si="3"/>
        <v>1</v>
      </c>
      <c r="S40" s="106"/>
      <c r="T40" s="273"/>
      <c r="U40" s="272"/>
    </row>
    <row r="41" spans="1:21" x14ac:dyDescent="0.2">
      <c r="A41" s="137" t="s">
        <v>123</v>
      </c>
      <c r="B41" s="70"/>
      <c r="C41" s="70"/>
      <c r="D41" s="70"/>
      <c r="E41" s="70"/>
      <c r="F41" s="70"/>
      <c r="G41" s="70"/>
      <c r="H41" s="70"/>
      <c r="I41" s="70"/>
      <c r="M41" s="137" t="s">
        <v>123</v>
      </c>
      <c r="O41" s="136"/>
      <c r="P41" s="275">
        <v>0.99999999999999989</v>
      </c>
      <c r="Q41" s="275">
        <f>SUM(Q30:Q39)</f>
        <v>0</v>
      </c>
      <c r="R41" s="273"/>
      <c r="S41" s="4"/>
      <c r="T41" s="273"/>
      <c r="U41" s="272"/>
    </row>
    <row r="42" spans="1:21" x14ac:dyDescent="0.2">
      <c r="M42" s="5" t="s">
        <v>121</v>
      </c>
      <c r="R42" s="273"/>
      <c r="S42" s="4"/>
      <c r="T42" s="273"/>
      <c r="U42" s="272"/>
    </row>
    <row r="43" spans="1:21" ht="38.25" customHeight="1" x14ac:dyDescent="0.2">
      <c r="A43" s="40" t="s">
        <v>99</v>
      </c>
      <c r="B43" s="40"/>
      <c r="C43" s="17"/>
      <c r="M43" s="132"/>
      <c r="N43" s="439" t="s">
        <v>108</v>
      </c>
      <c r="O43" s="439"/>
      <c r="P43" s="441" t="s">
        <v>235</v>
      </c>
      <c r="Q43" s="437" t="str">
        <f>Q28</f>
        <v>Ecarts Cifre/total, 2018</v>
      </c>
      <c r="R43" s="437" t="s">
        <v>236</v>
      </c>
      <c r="S43" s="437" t="s">
        <v>164</v>
      </c>
      <c r="T43" s="273"/>
      <c r="U43" s="272"/>
    </row>
    <row r="44" spans="1:21" x14ac:dyDescent="0.2">
      <c r="A44" s="34" t="s">
        <v>102</v>
      </c>
      <c r="B44" s="35">
        <v>2012</v>
      </c>
      <c r="C44" s="36">
        <v>2013</v>
      </c>
      <c r="D44" s="36">
        <v>2014</v>
      </c>
      <c r="E44" s="36">
        <v>2015</v>
      </c>
      <c r="F44" s="36">
        <v>2016</v>
      </c>
      <c r="G44" s="36">
        <v>2017</v>
      </c>
      <c r="H44" s="36">
        <v>2018</v>
      </c>
      <c r="I44" s="185">
        <v>2019</v>
      </c>
      <c r="J44" s="185" t="s">
        <v>141</v>
      </c>
      <c r="K44" s="185" t="s">
        <v>142</v>
      </c>
      <c r="M44" s="34" t="s">
        <v>102</v>
      </c>
      <c r="N44" s="131">
        <v>2012</v>
      </c>
      <c r="O44" s="131">
        <f>H44</f>
        <v>2018</v>
      </c>
      <c r="P44" s="441"/>
      <c r="Q44" s="437"/>
      <c r="R44" s="437"/>
      <c r="S44" s="437"/>
      <c r="T44" s="273"/>
      <c r="U44" s="272"/>
    </row>
    <row r="45" spans="1:21" x14ac:dyDescent="0.2">
      <c r="A45" s="38" t="s">
        <v>34</v>
      </c>
      <c r="B45" s="38">
        <f t="shared" ref="B45:H45" si="7">SUM(B30:B35)</f>
        <v>868</v>
      </c>
      <c r="C45" s="38">
        <f t="shared" si="7"/>
        <v>797</v>
      </c>
      <c r="D45" s="38">
        <f t="shared" si="7"/>
        <v>820</v>
      </c>
      <c r="E45" s="38">
        <f t="shared" si="7"/>
        <v>852</v>
      </c>
      <c r="F45" s="38">
        <f t="shared" si="7"/>
        <v>820</v>
      </c>
      <c r="G45" s="38">
        <f t="shared" si="7"/>
        <v>877</v>
      </c>
      <c r="H45" s="38">
        <f t="shared" si="7"/>
        <v>875</v>
      </c>
      <c r="I45" s="42">
        <f t="shared" ref="I45:K45" si="8">SUM(I30:I35)</f>
        <v>890</v>
      </c>
      <c r="J45" s="42">
        <f>SUM(J30:J35)</f>
        <v>641</v>
      </c>
      <c r="K45" s="42">
        <f t="shared" si="8"/>
        <v>249</v>
      </c>
      <c r="M45" s="38" t="s">
        <v>34</v>
      </c>
      <c r="N45" s="41">
        <f>B45/$B$40</f>
        <v>0.63496708119970735</v>
      </c>
      <c r="O45" s="41">
        <f>H45/H$40</f>
        <v>0.58333333333333337</v>
      </c>
      <c r="P45" s="342">
        <v>0.36017889359701932</v>
      </c>
      <c r="Q45" s="133">
        <f t="shared" ref="Q45" si="9">SUM(Q30:Q35)</f>
        <v>0.22315443973631394</v>
      </c>
      <c r="R45" s="133">
        <f t="shared" si="3"/>
        <v>0.5973406068871463</v>
      </c>
      <c r="S45" s="133">
        <f t="shared" si="4"/>
        <v>0.23716171329012697</v>
      </c>
      <c r="T45" s="273"/>
      <c r="U45" s="272"/>
    </row>
    <row r="46" spans="1:21" x14ac:dyDescent="0.2">
      <c r="A46" s="38" t="s">
        <v>74</v>
      </c>
      <c r="B46" s="38">
        <f>B36+B37</f>
        <v>338</v>
      </c>
      <c r="C46" s="38">
        <f t="shared" ref="C46:H46" si="10">C36+C37</f>
        <v>305</v>
      </c>
      <c r="D46" s="38">
        <f t="shared" si="10"/>
        <v>336</v>
      </c>
      <c r="E46" s="38">
        <f t="shared" si="10"/>
        <v>343</v>
      </c>
      <c r="F46" s="38">
        <f t="shared" si="10"/>
        <v>371</v>
      </c>
      <c r="G46" s="38">
        <f t="shared" si="10"/>
        <v>365</v>
      </c>
      <c r="H46" s="38">
        <f t="shared" si="10"/>
        <v>422</v>
      </c>
      <c r="I46" s="42">
        <f t="shared" ref="I46:K46" si="11">I36+I37</f>
        <v>370</v>
      </c>
      <c r="J46" s="42">
        <f t="shared" si="11"/>
        <v>195</v>
      </c>
      <c r="K46" s="42">
        <f t="shared" si="11"/>
        <v>175</v>
      </c>
      <c r="M46" s="38" t="s">
        <v>74</v>
      </c>
      <c r="N46" s="41">
        <f>B46/$B$40</f>
        <v>0.24725676664228238</v>
      </c>
      <c r="O46" s="41">
        <f>H46/H$40</f>
        <v>0.28133333333333332</v>
      </c>
      <c r="P46" s="342">
        <v>0.47220167695466136</v>
      </c>
      <c r="Q46" s="133">
        <f t="shared" ref="Q46" si="12">Q36+Q37</f>
        <v>-0.19086834362132804</v>
      </c>
      <c r="R46" s="133">
        <f t="shared" si="3"/>
        <v>0.26832594613024208</v>
      </c>
      <c r="S46" s="133">
        <f t="shared" si="4"/>
        <v>-0.20387573082441929</v>
      </c>
      <c r="T46" s="273"/>
      <c r="U46" s="272"/>
    </row>
    <row r="47" spans="1:21" ht="13.5" thickBot="1" x14ac:dyDescent="0.25">
      <c r="A47" s="102" t="s">
        <v>33</v>
      </c>
      <c r="B47" s="102">
        <f t="shared" ref="B47:H47" si="13">B38+B39</f>
        <v>161</v>
      </c>
      <c r="C47" s="102">
        <f t="shared" si="13"/>
        <v>135</v>
      </c>
      <c r="D47" s="102">
        <f t="shared" si="13"/>
        <v>196</v>
      </c>
      <c r="E47" s="102">
        <f t="shared" si="13"/>
        <v>188</v>
      </c>
      <c r="F47" s="102">
        <f t="shared" si="13"/>
        <v>186</v>
      </c>
      <c r="G47" s="102">
        <f t="shared" si="13"/>
        <v>191</v>
      </c>
      <c r="H47" s="102">
        <f t="shared" si="13"/>
        <v>203</v>
      </c>
      <c r="I47" s="183">
        <f t="shared" ref="I47:K47" si="14">I38+I39</f>
        <v>190</v>
      </c>
      <c r="J47" s="183">
        <f t="shared" si="14"/>
        <v>84</v>
      </c>
      <c r="K47" s="183">
        <f t="shared" si="14"/>
        <v>106</v>
      </c>
      <c r="M47" s="102" t="s">
        <v>33</v>
      </c>
      <c r="N47" s="107">
        <f>B47/$B$40</f>
        <v>0.11777615215801024</v>
      </c>
      <c r="O47" s="107">
        <f>H47/H$40</f>
        <v>0.13533333333333333</v>
      </c>
      <c r="P47" s="343">
        <v>0.16761942944831926</v>
      </c>
      <c r="Q47" s="134">
        <f t="shared" ref="Q47" si="15">Q38+Q39</f>
        <v>-3.228609611498591E-2</v>
      </c>
      <c r="R47" s="134">
        <f t="shared" si="3"/>
        <v>0.13433344698261165</v>
      </c>
      <c r="S47" s="134">
        <f t="shared" si="4"/>
        <v>-3.3285982465707603E-2</v>
      </c>
      <c r="T47" s="273"/>
      <c r="U47" s="272"/>
    </row>
    <row r="48" spans="1:21" x14ac:dyDescent="0.2">
      <c r="A48" s="95" t="s">
        <v>15</v>
      </c>
      <c r="B48" s="95">
        <f t="shared" ref="B48:I48" si="16">B40</f>
        <v>1367</v>
      </c>
      <c r="C48" s="95">
        <f t="shared" si="16"/>
        <v>1237</v>
      </c>
      <c r="D48" s="95">
        <f t="shared" si="16"/>
        <v>1352</v>
      </c>
      <c r="E48" s="95">
        <f t="shared" si="16"/>
        <v>1383</v>
      </c>
      <c r="F48" s="95">
        <f t="shared" si="16"/>
        <v>1377</v>
      </c>
      <c r="G48" s="95">
        <f t="shared" si="16"/>
        <v>1433</v>
      </c>
      <c r="H48" s="95">
        <f t="shared" si="16"/>
        <v>1500</v>
      </c>
      <c r="I48" s="95">
        <f t="shared" si="16"/>
        <v>1450</v>
      </c>
      <c r="J48" s="184">
        <f t="shared" ref="J48:K48" si="17">J40</f>
        <v>920</v>
      </c>
      <c r="K48" s="184">
        <f t="shared" si="17"/>
        <v>530</v>
      </c>
      <c r="M48" s="95" t="s">
        <v>15</v>
      </c>
      <c r="N48" s="106">
        <f>B48/$B$40</f>
        <v>1</v>
      </c>
      <c r="O48" s="106">
        <f>H48/H$40</f>
        <v>1</v>
      </c>
      <c r="P48" s="344">
        <v>1</v>
      </c>
      <c r="Q48" s="135">
        <f t="shared" ref="Q48" si="18">Q40</f>
        <v>0</v>
      </c>
      <c r="R48" s="135">
        <f t="shared" si="3"/>
        <v>1</v>
      </c>
      <c r="S48" s="135"/>
      <c r="T48" s="273"/>
      <c r="U48" s="272"/>
    </row>
    <row r="49" spans="1:21" x14ac:dyDescent="0.2">
      <c r="A49" s="137" t="s">
        <v>123</v>
      </c>
      <c r="M49" s="137" t="s">
        <v>123</v>
      </c>
      <c r="R49" s="273"/>
      <c r="S49" s="4"/>
      <c r="T49" s="273"/>
      <c r="U49" s="272"/>
    </row>
    <row r="50" spans="1:21" x14ac:dyDescent="0.2">
      <c r="A50" s="137"/>
    </row>
    <row r="51" spans="1:21" x14ac:dyDescent="0.2">
      <c r="A51" s="438" t="s">
        <v>100</v>
      </c>
      <c r="B51" s="438"/>
      <c r="C51" s="438"/>
    </row>
    <row r="52" spans="1:21" x14ac:dyDescent="0.2">
      <c r="A52" s="34" t="s">
        <v>102</v>
      </c>
      <c r="B52" s="36">
        <v>2012</v>
      </c>
      <c r="C52" s="36">
        <v>2013</v>
      </c>
      <c r="D52" s="36">
        <v>2014</v>
      </c>
      <c r="E52" s="36">
        <v>2015</v>
      </c>
      <c r="F52" s="36">
        <v>2016</v>
      </c>
      <c r="G52" s="36">
        <v>2017</v>
      </c>
      <c r="H52" s="185">
        <v>2018</v>
      </c>
      <c r="I52" s="185">
        <v>2019</v>
      </c>
    </row>
    <row r="53" spans="1:21" x14ac:dyDescent="0.2">
      <c r="A53" s="38" t="s">
        <v>34</v>
      </c>
      <c r="B53" s="43">
        <v>0.63496708119970735</v>
      </c>
      <c r="C53" s="43">
        <v>0.64430072756669365</v>
      </c>
      <c r="D53" s="43">
        <v>0.60650887573964496</v>
      </c>
      <c r="E53" s="43">
        <v>0.61605206073752716</v>
      </c>
      <c r="F53" s="43">
        <v>0.59549745824255629</v>
      </c>
      <c r="G53" s="43">
        <f t="shared" ref="G53:H56" si="19">G45/G$48</f>
        <v>0.61200279134682489</v>
      </c>
      <c r="H53" s="55">
        <f>H45/H$48</f>
        <v>0.58333333333333337</v>
      </c>
      <c r="I53" s="55">
        <f>I45/I$48</f>
        <v>0.61379310344827587</v>
      </c>
    </row>
    <row r="54" spans="1:21" x14ac:dyDescent="0.2">
      <c r="A54" s="38" t="s">
        <v>32</v>
      </c>
      <c r="B54" s="43">
        <v>0.13240673006583761</v>
      </c>
      <c r="C54" s="43">
        <v>0.11883589329021826</v>
      </c>
      <c r="D54" s="43">
        <v>0.1205621301775148</v>
      </c>
      <c r="E54" s="43">
        <v>0.12509038322487345</v>
      </c>
      <c r="F54" s="43">
        <v>0.15177923021060277</v>
      </c>
      <c r="G54" s="43">
        <f t="shared" si="19"/>
        <v>0.25471039776692256</v>
      </c>
      <c r="H54" s="55">
        <f t="shared" si="19"/>
        <v>0.28133333333333332</v>
      </c>
      <c r="I54" s="55">
        <f>I46/I$48</f>
        <v>0.25517241379310346</v>
      </c>
    </row>
    <row r="55" spans="1:21" ht="13.5" thickBot="1" x14ac:dyDescent="0.25">
      <c r="A55" s="102" t="s">
        <v>33</v>
      </c>
      <c r="B55" s="105">
        <v>0.11777615215801024</v>
      </c>
      <c r="C55" s="105">
        <v>0.10913500404203719</v>
      </c>
      <c r="D55" s="105">
        <v>0.14497041420118342</v>
      </c>
      <c r="E55" s="105">
        <v>0.13593637020968907</v>
      </c>
      <c r="F55" s="105">
        <v>0.13507625272331156</v>
      </c>
      <c r="G55" s="105">
        <f t="shared" si="19"/>
        <v>0.1332868108862526</v>
      </c>
      <c r="H55" s="116">
        <f t="shared" si="19"/>
        <v>0.13533333333333333</v>
      </c>
      <c r="I55" s="116">
        <f>I47/I$48</f>
        <v>0.1310344827586207</v>
      </c>
    </row>
    <row r="56" spans="1:21" x14ac:dyDescent="0.2">
      <c r="A56" s="95" t="s">
        <v>15</v>
      </c>
      <c r="B56" s="103">
        <f t="shared" ref="B56:E56" si="20">B48/B$48</f>
        <v>1</v>
      </c>
      <c r="C56" s="103">
        <f t="shared" si="20"/>
        <v>1</v>
      </c>
      <c r="D56" s="103">
        <f t="shared" si="20"/>
        <v>1</v>
      </c>
      <c r="E56" s="103">
        <f t="shared" si="20"/>
        <v>1</v>
      </c>
      <c r="F56" s="103">
        <f>F48/F$48</f>
        <v>1</v>
      </c>
      <c r="G56" s="104">
        <f t="shared" si="19"/>
        <v>1</v>
      </c>
      <c r="H56" s="115">
        <f t="shared" si="19"/>
        <v>1</v>
      </c>
      <c r="I56" s="115">
        <f t="shared" ref="I56" si="21">I48/I$48</f>
        <v>1</v>
      </c>
    </row>
    <row r="57" spans="1:21" x14ac:dyDescent="0.2">
      <c r="A57" s="137" t="s">
        <v>123</v>
      </c>
      <c r="B57" s="4"/>
      <c r="C57" s="4"/>
      <c r="D57" s="4"/>
      <c r="E57" s="4"/>
      <c r="F57" s="4"/>
      <c r="G57" s="4"/>
      <c r="H57" s="4"/>
      <c r="I57" s="4"/>
    </row>
  </sheetData>
  <mergeCells count="11">
    <mergeCell ref="R28:R29"/>
    <mergeCell ref="S28:S29"/>
    <mergeCell ref="R43:R44"/>
    <mergeCell ref="S43:S44"/>
    <mergeCell ref="A51:C51"/>
    <mergeCell ref="N28:O28"/>
    <mergeCell ref="P28:P29"/>
    <mergeCell ref="Q28:Q29"/>
    <mergeCell ref="N43:O43"/>
    <mergeCell ref="P43:P44"/>
    <mergeCell ref="Q43:Q44"/>
  </mergeCells>
  <pageMargins left="0.23622047244094491" right="0" top="0.35433070866141736" bottom="0.35433070866141736" header="0" footer="0.31496062992125984"/>
  <pageSetup paperSize="9" scale="47" orientation="portrait" r:id="rId1"/>
  <ignoredErrors>
    <ignoredError sqref="C40:G40 C45:I45 I40 K45" formulaRange="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Q58"/>
  <sheetViews>
    <sheetView showGridLines="0" view="pageBreakPreview" zoomScale="80" zoomScaleNormal="100" zoomScaleSheetLayoutView="80" workbookViewId="0">
      <selection activeCell="A15" sqref="A15"/>
    </sheetView>
  </sheetViews>
  <sheetFormatPr baseColWidth="10" defaultRowHeight="12.75" x14ac:dyDescent="0.2"/>
  <cols>
    <col min="1" max="1" width="27" customWidth="1"/>
    <col min="2" max="9" width="8.7109375" customWidth="1"/>
    <col min="10" max="10" width="16.5703125" customWidth="1"/>
    <col min="11" max="11" width="11.140625" customWidth="1"/>
    <col min="12" max="13" width="10.140625" customWidth="1"/>
    <col min="14" max="14" width="17.7109375" customWidth="1"/>
    <col min="16" max="16" width="27" customWidth="1"/>
    <col min="17" max="18" width="7.85546875" customWidth="1"/>
    <col min="19" max="19" width="14.5703125" customWidth="1"/>
    <col min="20" max="20" width="10.140625" customWidth="1"/>
    <col min="23" max="23" width="18.28515625" customWidth="1"/>
  </cols>
  <sheetData>
    <row r="1" spans="1:17" ht="19.5" customHeight="1" x14ac:dyDescent="0.25">
      <c r="A1" s="334" t="s">
        <v>228</v>
      </c>
    </row>
    <row r="2" spans="1:17" s="6" customFormat="1" ht="37.5" customHeight="1" x14ac:dyDescent="0.2">
      <c r="A2" s="6" t="s">
        <v>239</v>
      </c>
      <c r="I2" s="443" t="s">
        <v>234</v>
      </c>
      <c r="J2" s="441" t="s">
        <v>231</v>
      </c>
      <c r="K2" s="441" t="s">
        <v>232</v>
      </c>
      <c r="L2" s="17"/>
    </row>
    <row r="3" spans="1:17" x14ac:dyDescent="0.2">
      <c r="A3" s="330"/>
      <c r="B3" s="132">
        <v>2013</v>
      </c>
      <c r="C3" s="132">
        <v>2014</v>
      </c>
      <c r="D3" s="132">
        <v>2015</v>
      </c>
      <c r="E3" s="132">
        <v>2016</v>
      </c>
      <c r="F3" s="132">
        <v>2017</v>
      </c>
      <c r="G3" s="331">
        <v>2018</v>
      </c>
      <c r="H3" s="331">
        <v>2019</v>
      </c>
      <c r="I3" s="443"/>
      <c r="J3" s="441"/>
      <c r="K3" s="441"/>
      <c r="L3" s="27"/>
      <c r="M3" s="333"/>
      <c r="N3" s="27"/>
      <c r="O3" s="27"/>
      <c r="P3" s="27"/>
      <c r="Q3" s="27"/>
    </row>
    <row r="4" spans="1:17" x14ac:dyDescent="0.2">
      <c r="A4" s="224" t="s">
        <v>10</v>
      </c>
      <c r="B4" s="328">
        <f t="shared" ref="B4:H4" si="0">VLOOKUP(B$3,$A$52:$L$58,2,FALSE)</f>
        <v>0.13861386138613863</v>
      </c>
      <c r="C4" s="328">
        <f t="shared" si="0"/>
        <v>0.25352112676056338</v>
      </c>
      <c r="D4" s="328">
        <f t="shared" si="0"/>
        <v>0.22727272727272727</v>
      </c>
      <c r="E4" s="328">
        <f t="shared" si="0"/>
        <v>0.29032258064516131</v>
      </c>
      <c r="F4" s="328">
        <f t="shared" si="0"/>
        <v>0.25</v>
      </c>
      <c r="G4" s="328">
        <f t="shared" si="0"/>
        <v>0.2537313432835821</v>
      </c>
      <c r="H4" s="328">
        <f t="shared" si="0"/>
        <v>0.21794871794871795</v>
      </c>
      <c r="I4" s="49">
        <f>(F20+G20)/('Domaine sc'!G30+'Domaine sc'!H30)</f>
        <v>0.25185185185185183</v>
      </c>
      <c r="J4" s="199">
        <v>0.23237179487179488</v>
      </c>
      <c r="K4" s="49">
        <f>I4-J4</f>
        <v>1.9480056980056948E-2</v>
      </c>
      <c r="L4" s="27"/>
      <c r="M4" s="29"/>
      <c r="N4" s="27"/>
      <c r="O4" s="27"/>
      <c r="P4" s="27"/>
      <c r="Q4" s="27"/>
    </row>
    <row r="5" spans="1:17" x14ac:dyDescent="0.2">
      <c r="A5" s="224" t="s">
        <v>11</v>
      </c>
      <c r="B5" s="328">
        <f t="shared" ref="B5:H5" si="1">VLOOKUP(B$3,$A$52:$L$58,3,FALSE)</f>
        <v>0.2857142857142857</v>
      </c>
      <c r="C5" s="328">
        <f t="shared" si="1"/>
        <v>0.29166666666666669</v>
      </c>
      <c r="D5" s="328">
        <f t="shared" si="1"/>
        <v>0.375</v>
      </c>
      <c r="E5" s="328">
        <f t="shared" si="1"/>
        <v>0.46153846153846156</v>
      </c>
      <c r="F5" s="328">
        <f t="shared" si="1"/>
        <v>0.35294117647058826</v>
      </c>
      <c r="G5" s="328">
        <f t="shared" si="1"/>
        <v>0.31818181818181818</v>
      </c>
      <c r="H5" s="328">
        <f t="shared" si="1"/>
        <v>0.52631578947368418</v>
      </c>
      <c r="I5" s="49">
        <f>(F21+G21)/('Domaine sc'!G31+'Domaine sc'!H31)</f>
        <v>0.33333333333333331</v>
      </c>
      <c r="J5" s="199">
        <v>0.26423200859291085</v>
      </c>
      <c r="K5" s="49">
        <f t="shared" ref="K5:K14" si="2">I5-J5</f>
        <v>6.9101324740422465E-2</v>
      </c>
      <c r="L5" s="27"/>
      <c r="M5" s="29"/>
      <c r="N5" s="27"/>
      <c r="O5" s="27"/>
      <c r="P5" s="27"/>
      <c r="Q5" s="27"/>
    </row>
    <row r="6" spans="1:17" x14ac:dyDescent="0.2">
      <c r="A6" s="224" t="s">
        <v>9</v>
      </c>
      <c r="B6" s="328">
        <f t="shared" ref="B6:H6" si="3">VLOOKUP(B$3,$A$52:$L$58,4,FALSE)</f>
        <v>0.5</v>
      </c>
      <c r="C6" s="328">
        <f t="shared" si="3"/>
        <v>0.41666666666666669</v>
      </c>
      <c r="D6" s="328">
        <f t="shared" si="3"/>
        <v>0.25</v>
      </c>
      <c r="E6" s="328">
        <f t="shared" si="3"/>
        <v>0.21428571428571427</v>
      </c>
      <c r="F6" s="328">
        <f t="shared" si="3"/>
        <v>0.53333333333333333</v>
      </c>
      <c r="G6" s="328">
        <f t="shared" si="3"/>
        <v>0.4375</v>
      </c>
      <c r="H6" s="328">
        <f t="shared" si="3"/>
        <v>0.2857142857142857</v>
      </c>
      <c r="I6" s="49">
        <f>(F22+G22)/('Domaine sc'!G32+'Domaine sc'!H32)</f>
        <v>0.4838709677419355</v>
      </c>
      <c r="J6" s="199">
        <v>0.40108892921960071</v>
      </c>
      <c r="K6" s="49">
        <f t="shared" si="2"/>
        <v>8.2782038522334789E-2</v>
      </c>
      <c r="L6" s="27"/>
      <c r="M6" s="29"/>
      <c r="N6" s="27"/>
      <c r="O6" s="27"/>
      <c r="P6" s="27"/>
      <c r="Q6" s="27"/>
    </row>
    <row r="7" spans="1:17" x14ac:dyDescent="0.2">
      <c r="A7" s="224" t="s">
        <v>30</v>
      </c>
      <c r="B7" s="328">
        <f t="shared" ref="B7:H7" si="4">VLOOKUP(B$3,$A$52:$L$58,5,FALSE)</f>
        <v>0.4859154929577465</v>
      </c>
      <c r="C7" s="328">
        <f t="shared" si="4"/>
        <v>0.4550561797752809</v>
      </c>
      <c r="D7" s="328">
        <f t="shared" si="4"/>
        <v>0.42690058479532161</v>
      </c>
      <c r="E7" s="328">
        <f t="shared" si="4"/>
        <v>0.40322580645161288</v>
      </c>
      <c r="F7" s="328">
        <f t="shared" si="4"/>
        <v>0.43678160919540232</v>
      </c>
      <c r="G7" s="328">
        <f t="shared" si="4"/>
        <v>0.41212121212121211</v>
      </c>
      <c r="H7" s="328">
        <f t="shared" si="4"/>
        <v>0.42857142857142855</v>
      </c>
      <c r="I7" s="49">
        <f>(F23+G23)/('Domaine sc'!G33+'Domaine sc'!H33)</f>
        <v>0.4247787610619469</v>
      </c>
      <c r="J7" s="199">
        <v>0.43811881188118812</v>
      </c>
      <c r="K7" s="49">
        <f t="shared" si="2"/>
        <v>-1.3340050819241223E-2</v>
      </c>
      <c r="L7" s="27"/>
      <c r="M7" s="29"/>
      <c r="N7" s="27"/>
      <c r="O7" s="27"/>
      <c r="P7" s="27"/>
      <c r="Q7" s="27"/>
    </row>
    <row r="8" spans="1:17" x14ac:dyDescent="0.2">
      <c r="A8" s="224" t="s">
        <v>4</v>
      </c>
      <c r="B8" s="328">
        <f t="shared" ref="B8:H8" si="5">VLOOKUP(B$3,$A$52:$L$58,9,FALSE)</f>
        <v>0.24291497975708501</v>
      </c>
      <c r="C8" s="328">
        <f t="shared" si="5"/>
        <v>0.24242424242424243</v>
      </c>
      <c r="D8" s="328">
        <f t="shared" si="5"/>
        <v>0.20377358490566039</v>
      </c>
      <c r="E8" s="328">
        <f t="shared" si="5"/>
        <v>0.26996197718631176</v>
      </c>
      <c r="F8" s="328">
        <f t="shared" si="5"/>
        <v>0.24535315985130113</v>
      </c>
      <c r="G8" s="328">
        <f t="shared" si="5"/>
        <v>0.25390625</v>
      </c>
      <c r="H8" s="328">
        <f t="shared" si="5"/>
        <v>0.27272727272727271</v>
      </c>
      <c r="I8" s="49">
        <f>(F24+G24)/('Domaine sc'!G34+'Domaine sc'!H34)</f>
        <v>0.24952380952380954</v>
      </c>
      <c r="J8" s="199">
        <v>0.29964953271028039</v>
      </c>
      <c r="K8" s="49">
        <f t="shared" si="2"/>
        <v>-5.012572318647085E-2</v>
      </c>
      <c r="L8" s="27"/>
      <c r="M8" s="29"/>
      <c r="N8" s="27"/>
      <c r="O8" s="27"/>
      <c r="P8" s="27"/>
      <c r="Q8" s="27"/>
    </row>
    <row r="9" spans="1:17" x14ac:dyDescent="0.2">
      <c r="A9" s="224" t="s">
        <v>14</v>
      </c>
      <c r="B9" s="328">
        <f t="shared" ref="B9:H9" si="6">VLOOKUP(B$3,$A$52:$L$58,10,FALSE)</f>
        <v>0.27737226277372262</v>
      </c>
      <c r="C9" s="328">
        <f t="shared" si="6"/>
        <v>0.21033210332103322</v>
      </c>
      <c r="D9" s="328">
        <f t="shared" si="6"/>
        <v>0.22916666666666666</v>
      </c>
      <c r="E9" s="328">
        <f t="shared" si="6"/>
        <v>0.20212765957446807</v>
      </c>
      <c r="F9" s="328">
        <f t="shared" si="6"/>
        <v>0.24850299401197604</v>
      </c>
      <c r="G9" s="328">
        <f t="shared" si="6"/>
        <v>0.21203438395415472</v>
      </c>
      <c r="H9" s="328">
        <f t="shared" si="6"/>
        <v>0.20923076923076922</v>
      </c>
      <c r="I9" s="49">
        <f>(F25+G25)/('Domaine sc'!G35+'Domaine sc'!H35)</f>
        <v>0.22986822840409957</v>
      </c>
      <c r="J9" s="199">
        <v>0.27328809376927821</v>
      </c>
      <c r="K9" s="49">
        <f t="shared" si="2"/>
        <v>-4.3419865365178639E-2</v>
      </c>
      <c r="L9" s="27"/>
      <c r="M9" s="29"/>
      <c r="N9" s="27"/>
      <c r="O9" s="27"/>
      <c r="P9" s="27"/>
      <c r="Q9" s="27"/>
    </row>
    <row r="10" spans="1:17" x14ac:dyDescent="0.2">
      <c r="A10" s="224" t="s">
        <v>13</v>
      </c>
      <c r="B10" s="328">
        <f t="shared" ref="B10:H10" si="7">VLOOKUP(B$3,$A$52:$L$58,7,FALSE)</f>
        <v>0.41496598639455784</v>
      </c>
      <c r="C10" s="328">
        <f t="shared" si="7"/>
        <v>0.46012269938650308</v>
      </c>
      <c r="D10" s="328">
        <f t="shared" si="7"/>
        <v>0.40462427745664742</v>
      </c>
      <c r="E10" s="328">
        <f t="shared" si="7"/>
        <v>0.43062200956937802</v>
      </c>
      <c r="F10" s="328">
        <f t="shared" si="7"/>
        <v>0.44976076555023925</v>
      </c>
      <c r="G10" s="328">
        <f t="shared" si="7"/>
        <v>0.45023696682464454</v>
      </c>
      <c r="H10" s="328">
        <f t="shared" si="7"/>
        <v>0.43269230769230771</v>
      </c>
      <c r="I10" s="49">
        <f>(F26+G26)/('Domaine sc'!G36+'Domaine sc'!H36)</f>
        <v>0.45</v>
      </c>
      <c r="J10" s="199">
        <v>0.56752577319587627</v>
      </c>
      <c r="K10" s="49">
        <f t="shared" si="2"/>
        <v>-0.11752577319587626</v>
      </c>
      <c r="L10" s="27"/>
      <c r="M10" s="29"/>
      <c r="N10" s="27"/>
      <c r="O10" s="27"/>
      <c r="P10" s="27"/>
      <c r="Q10" s="27"/>
    </row>
    <row r="11" spans="1:17" x14ac:dyDescent="0.2">
      <c r="A11" s="224" t="s">
        <v>8</v>
      </c>
      <c r="B11" s="328">
        <f t="shared" ref="B11:H11" si="8">VLOOKUP(B$3,$A$52:$L$58,8,FALSE)</f>
        <v>0.39873417721518989</v>
      </c>
      <c r="C11" s="328">
        <f t="shared" si="8"/>
        <v>0.43352601156069365</v>
      </c>
      <c r="D11" s="328">
        <f t="shared" si="8"/>
        <v>0.52352941176470591</v>
      </c>
      <c r="E11" s="328">
        <f t="shared" si="8"/>
        <v>0.5</v>
      </c>
      <c r="F11" s="328">
        <f t="shared" si="8"/>
        <v>0.50641025641025639</v>
      </c>
      <c r="G11" s="328">
        <f t="shared" si="8"/>
        <v>0.5781990521327014</v>
      </c>
      <c r="H11" s="328">
        <f t="shared" si="8"/>
        <v>0.52469135802469136</v>
      </c>
      <c r="I11" s="49">
        <f>(F27+G27)/('Domaine sc'!G37+'Domaine sc'!H37)</f>
        <v>0.54768392370572205</v>
      </c>
      <c r="J11" s="199">
        <v>0.48478532721967488</v>
      </c>
      <c r="K11" s="49">
        <f t="shared" si="2"/>
        <v>6.2898596486047176E-2</v>
      </c>
      <c r="L11" s="27"/>
      <c r="M11" s="29"/>
      <c r="N11" s="27"/>
      <c r="O11" s="27"/>
      <c r="P11" s="27"/>
      <c r="Q11" s="27"/>
    </row>
    <row r="12" spans="1:17" x14ac:dyDescent="0.2">
      <c r="A12" s="224" t="s">
        <v>12</v>
      </c>
      <c r="B12" s="328">
        <f t="shared" ref="B12:H12" si="9">VLOOKUP(B$3,$A$52:$L$58,6,FALSE)</f>
        <v>0.53086419753086422</v>
      </c>
      <c r="C12" s="328">
        <f t="shared" si="9"/>
        <v>0.58064516129032262</v>
      </c>
      <c r="D12" s="328">
        <f t="shared" si="9"/>
        <v>0.55084745762711862</v>
      </c>
      <c r="E12" s="328">
        <f t="shared" si="9"/>
        <v>0.69369369369369371</v>
      </c>
      <c r="F12" s="328">
        <f t="shared" si="9"/>
        <v>0.60576923076923073</v>
      </c>
      <c r="G12" s="328">
        <f t="shared" si="9"/>
        <v>0.6029411764705882</v>
      </c>
      <c r="H12" s="328">
        <f t="shared" si="9"/>
        <v>0.53389830508474578</v>
      </c>
      <c r="I12" s="49">
        <f>(F28+G28)/('Domaine sc'!G38+'Domaine sc'!H38)</f>
        <v>0.60416666666666663</v>
      </c>
      <c r="J12" s="199">
        <v>0.5750290810391625</v>
      </c>
      <c r="K12" s="49">
        <f t="shared" si="2"/>
        <v>2.9137585627504126E-2</v>
      </c>
      <c r="L12" s="27"/>
      <c r="M12" s="29"/>
      <c r="N12" s="27"/>
      <c r="O12" s="27"/>
      <c r="P12" s="27"/>
      <c r="Q12" s="27"/>
    </row>
    <row r="13" spans="1:17" x14ac:dyDescent="0.2">
      <c r="A13" s="224" t="s">
        <v>29</v>
      </c>
      <c r="B13" s="328">
        <f t="shared" ref="B13:H13" si="10">VLOOKUP(B$3,$A$52:$L$58,11,FALSE)</f>
        <v>0.61111111111111116</v>
      </c>
      <c r="C13" s="328">
        <f t="shared" si="10"/>
        <v>0.72222222222222221</v>
      </c>
      <c r="D13" s="328">
        <f t="shared" si="10"/>
        <v>0.5</v>
      </c>
      <c r="E13" s="328">
        <f t="shared" si="10"/>
        <v>0.62666666666666671</v>
      </c>
      <c r="F13" s="328">
        <f t="shared" si="10"/>
        <v>0.58620689655172409</v>
      </c>
      <c r="G13" s="328">
        <f t="shared" si="10"/>
        <v>0.58208955223880599</v>
      </c>
      <c r="H13" s="328">
        <f t="shared" si="10"/>
        <v>0.59722222222222221</v>
      </c>
      <c r="I13" s="49">
        <f>(F29+G29)/('Domaine sc'!G39+'Domaine sc'!H39)</f>
        <v>0.58441558441558439</v>
      </c>
      <c r="J13" s="199">
        <v>0.52452830188679245</v>
      </c>
      <c r="K13" s="49">
        <f t="shared" si="2"/>
        <v>5.9887282528791941E-2</v>
      </c>
      <c r="L13" s="27"/>
      <c r="M13" s="29"/>
      <c r="N13" s="27"/>
      <c r="O13" s="27"/>
      <c r="P13" s="27"/>
      <c r="Q13" s="27"/>
    </row>
    <row r="14" spans="1:17" x14ac:dyDescent="0.2">
      <c r="A14" s="224" t="s">
        <v>15</v>
      </c>
      <c r="B14" s="328">
        <f t="shared" ref="B14:H14" si="11">VLOOKUP(B$3,$A$52:$L$58,12,FALSE)</f>
        <v>0.34842360549717055</v>
      </c>
      <c r="C14" s="328">
        <f t="shared" si="11"/>
        <v>0.37426035502958582</v>
      </c>
      <c r="D14" s="328">
        <f t="shared" si="11"/>
        <v>0.35068691250903833</v>
      </c>
      <c r="E14" s="328">
        <f t="shared" si="11"/>
        <v>0.38126361655773422</v>
      </c>
      <c r="F14" s="328">
        <f t="shared" si="11"/>
        <v>0.37892533147243546</v>
      </c>
      <c r="G14" s="328">
        <f t="shared" si="11"/>
        <v>0.38400000000000001</v>
      </c>
      <c r="H14" s="328">
        <f t="shared" si="11"/>
        <v>0.36551724137931035</v>
      </c>
      <c r="I14" s="49">
        <f>(F30+G30)/('Domaine sc'!G40+'Domaine sc'!H40)</f>
        <v>0.38152062734401637</v>
      </c>
      <c r="J14" s="336">
        <f>J46</f>
        <v>0.46457035813281539</v>
      </c>
      <c r="K14" s="336">
        <f t="shared" si="2"/>
        <v>-8.3049730788799014E-2</v>
      </c>
      <c r="L14" s="27"/>
      <c r="M14" s="29"/>
      <c r="N14" s="27"/>
      <c r="O14" s="27"/>
      <c r="P14" s="27"/>
      <c r="Q14" s="27"/>
    </row>
    <row r="15" spans="1:17" x14ac:dyDescent="0.2">
      <c r="A15" s="427" t="s">
        <v>240</v>
      </c>
      <c r="H15" s="274"/>
    </row>
    <row r="16" spans="1:17" ht="15" x14ac:dyDescent="0.2">
      <c r="A16" s="335"/>
      <c r="H16" s="345"/>
    </row>
    <row r="17" spans="1:8" x14ac:dyDescent="0.2">
      <c r="A17" s="335"/>
      <c r="H17" s="337"/>
    </row>
    <row r="18" spans="1:8" ht="21.75" customHeight="1" x14ac:dyDescent="0.2">
      <c r="A18" s="6" t="s">
        <v>233</v>
      </c>
      <c r="H18" s="338"/>
    </row>
    <row r="19" spans="1:8" s="27" customFormat="1" x14ac:dyDescent="0.2">
      <c r="A19" s="329"/>
      <c r="B19" s="169">
        <v>2013</v>
      </c>
      <c r="C19" s="169">
        <v>2014</v>
      </c>
      <c r="D19" s="169">
        <v>2015</v>
      </c>
      <c r="E19" s="169">
        <v>2016</v>
      </c>
      <c r="F19" s="169">
        <v>2017</v>
      </c>
      <c r="G19" s="327">
        <v>2018</v>
      </c>
      <c r="H19" s="327">
        <v>2019</v>
      </c>
    </row>
    <row r="20" spans="1:8" x14ac:dyDescent="0.2">
      <c r="A20" s="224" t="s">
        <v>10</v>
      </c>
      <c r="B20" s="242">
        <f>B4*'Domaine sc'!C30</f>
        <v>14.000000000000002</v>
      </c>
      <c r="C20" s="242">
        <f>C4*'Domaine sc'!D30</f>
        <v>18</v>
      </c>
      <c r="D20" s="242">
        <f>D4*'Domaine sc'!E30</f>
        <v>20</v>
      </c>
      <c r="E20" s="242">
        <f>E4*'Domaine sc'!F30</f>
        <v>18</v>
      </c>
      <c r="F20" s="242">
        <f>F4*'Domaine sc'!G30</f>
        <v>17</v>
      </c>
      <c r="G20" s="242">
        <f>G4*'Domaine sc'!H30</f>
        <v>17</v>
      </c>
      <c r="H20" s="242">
        <f>H4*'Domaine sc'!I30</f>
        <v>17</v>
      </c>
    </row>
    <row r="21" spans="1:8" x14ac:dyDescent="0.2">
      <c r="A21" s="224" t="s">
        <v>11</v>
      </c>
      <c r="B21" s="242">
        <f>B5*'Domaine sc'!C31</f>
        <v>6</v>
      </c>
      <c r="C21" s="242">
        <f>C5*'Domaine sc'!D31</f>
        <v>7</v>
      </c>
      <c r="D21" s="242">
        <f>D5*'Domaine sc'!E31</f>
        <v>9</v>
      </c>
      <c r="E21" s="242">
        <f>E5*'Domaine sc'!F31</f>
        <v>6</v>
      </c>
      <c r="F21" s="242">
        <f>F5*'Domaine sc'!G31</f>
        <v>6</v>
      </c>
      <c r="G21" s="242">
        <f>G5*'Domaine sc'!H31</f>
        <v>7</v>
      </c>
      <c r="H21" s="242">
        <f>H5*'Domaine sc'!I31</f>
        <v>10</v>
      </c>
    </row>
    <row r="22" spans="1:8" x14ac:dyDescent="0.2">
      <c r="A22" s="224" t="s">
        <v>9</v>
      </c>
      <c r="B22" s="242">
        <f>B6*'Domaine sc'!C32</f>
        <v>6</v>
      </c>
      <c r="C22" s="242">
        <f>C6*'Domaine sc'!D32</f>
        <v>5</v>
      </c>
      <c r="D22" s="242">
        <f>D6*'Domaine sc'!E32</f>
        <v>4</v>
      </c>
      <c r="E22" s="242">
        <f>E6*'Domaine sc'!F32</f>
        <v>3</v>
      </c>
      <c r="F22" s="242">
        <f>F6*'Domaine sc'!G32</f>
        <v>8</v>
      </c>
      <c r="G22" s="242">
        <f>G6*'Domaine sc'!H32</f>
        <v>7</v>
      </c>
      <c r="H22" s="242">
        <f>H6*'Domaine sc'!I32</f>
        <v>4</v>
      </c>
    </row>
    <row r="23" spans="1:8" x14ac:dyDescent="0.2">
      <c r="A23" s="224" t="s">
        <v>159</v>
      </c>
      <c r="B23" s="242">
        <f>B7*'Domaine sc'!C33</f>
        <v>69</v>
      </c>
      <c r="C23" s="242">
        <f>C7*'Domaine sc'!D33</f>
        <v>81</v>
      </c>
      <c r="D23" s="242">
        <f>D7*'Domaine sc'!E33</f>
        <v>73</v>
      </c>
      <c r="E23" s="242">
        <f>E7*'Domaine sc'!F33</f>
        <v>75</v>
      </c>
      <c r="F23" s="242">
        <f>F7*'Domaine sc'!G33</f>
        <v>76</v>
      </c>
      <c r="G23" s="242">
        <f>G7*'Domaine sc'!H33</f>
        <v>68</v>
      </c>
      <c r="H23" s="242">
        <f>H7*'Domaine sc'!I33</f>
        <v>72</v>
      </c>
    </row>
    <row r="24" spans="1:8" x14ac:dyDescent="0.2">
      <c r="A24" s="224" t="s">
        <v>12</v>
      </c>
      <c r="B24" s="242">
        <f>B8*'Domaine sc'!C34</f>
        <v>60</v>
      </c>
      <c r="C24" s="242">
        <f>C8*'Domaine sc'!D34</f>
        <v>64.484848484848484</v>
      </c>
      <c r="D24" s="242">
        <f>D8*'Domaine sc'!E34</f>
        <v>54</v>
      </c>
      <c r="E24" s="242">
        <f>E8*'Domaine sc'!F34</f>
        <v>71</v>
      </c>
      <c r="F24" s="242">
        <f>F8*'Domaine sc'!G34</f>
        <v>66</v>
      </c>
      <c r="G24" s="242">
        <f>G8*'Domaine sc'!H34</f>
        <v>65</v>
      </c>
      <c r="H24" s="242">
        <f>H8*'Domaine sc'!I34</f>
        <v>78</v>
      </c>
    </row>
    <row r="25" spans="1:8" x14ac:dyDescent="0.2">
      <c r="A25" s="224" t="s">
        <v>13</v>
      </c>
      <c r="B25" s="242">
        <f>B9*'Domaine sc'!C35</f>
        <v>76</v>
      </c>
      <c r="C25" s="242">
        <f>C9*'Domaine sc'!D35</f>
        <v>56.579335793357934</v>
      </c>
      <c r="D25" s="242">
        <f>D9*'Domaine sc'!E35</f>
        <v>66</v>
      </c>
      <c r="E25" s="242">
        <f>E9*'Domaine sc'!F35</f>
        <v>56.999999999999993</v>
      </c>
      <c r="F25" s="242">
        <f>F9*'Domaine sc'!G35</f>
        <v>83</v>
      </c>
      <c r="G25" s="242">
        <f>G9*'Domaine sc'!H35</f>
        <v>74</v>
      </c>
      <c r="H25" s="242">
        <f>H9*'Domaine sc'!I35</f>
        <v>68</v>
      </c>
    </row>
    <row r="26" spans="1:8" x14ac:dyDescent="0.2">
      <c r="A26" s="224" t="s">
        <v>8</v>
      </c>
      <c r="B26" s="242">
        <f>B10*'Domaine sc'!C36</f>
        <v>61</v>
      </c>
      <c r="C26" s="242">
        <f>C10*'Domaine sc'!D36</f>
        <v>75</v>
      </c>
      <c r="D26" s="242">
        <f>D10*'Domaine sc'!E36</f>
        <v>70</v>
      </c>
      <c r="E26" s="242">
        <f>E10*'Domaine sc'!F36</f>
        <v>90</v>
      </c>
      <c r="F26" s="242">
        <f>F10*'Domaine sc'!G36</f>
        <v>94</v>
      </c>
      <c r="G26" s="242">
        <f>G10*'Domaine sc'!H36</f>
        <v>95</v>
      </c>
      <c r="H26" s="242">
        <f>H10*'Domaine sc'!I36</f>
        <v>90</v>
      </c>
    </row>
    <row r="27" spans="1:8" x14ac:dyDescent="0.2">
      <c r="A27" s="224" t="s">
        <v>4</v>
      </c>
      <c r="B27" s="242">
        <f>B11*'Domaine sc'!C37</f>
        <v>63</v>
      </c>
      <c r="C27" s="242">
        <f>C11*'Domaine sc'!D37</f>
        <v>75</v>
      </c>
      <c r="D27" s="242">
        <f>D11*'Domaine sc'!E37</f>
        <v>89</v>
      </c>
      <c r="E27" s="242">
        <f>E11*'Domaine sc'!F37</f>
        <v>81</v>
      </c>
      <c r="F27" s="242">
        <f>F11*'Domaine sc'!G37</f>
        <v>79</v>
      </c>
      <c r="G27" s="242">
        <f>G11*'Domaine sc'!H37</f>
        <v>122</v>
      </c>
      <c r="H27" s="242">
        <f>H11*'Domaine sc'!I37</f>
        <v>85</v>
      </c>
    </row>
    <row r="28" spans="1:8" x14ac:dyDescent="0.2">
      <c r="A28" s="224" t="s">
        <v>14</v>
      </c>
      <c r="B28" s="242">
        <f>B12*'Domaine sc'!C38</f>
        <v>43</v>
      </c>
      <c r="C28" s="242">
        <f>C12*'Domaine sc'!D38</f>
        <v>72</v>
      </c>
      <c r="D28" s="242">
        <f>D12*'Domaine sc'!E38</f>
        <v>65</v>
      </c>
      <c r="E28" s="242">
        <f>E12*'Domaine sc'!F38</f>
        <v>77</v>
      </c>
      <c r="F28" s="242">
        <f>F12*'Domaine sc'!G38</f>
        <v>62.999999999999993</v>
      </c>
      <c r="G28" s="242">
        <f>G12*'Domaine sc'!H38</f>
        <v>82</v>
      </c>
      <c r="H28" s="242">
        <f>H12*'Domaine sc'!I38</f>
        <v>63</v>
      </c>
    </row>
    <row r="29" spans="1:8" x14ac:dyDescent="0.2">
      <c r="A29" s="224" t="s">
        <v>160</v>
      </c>
      <c r="B29" s="242">
        <f>B13*'Domaine sc'!C39</f>
        <v>33</v>
      </c>
      <c r="C29" s="242">
        <f>C13*'Domaine sc'!D39</f>
        <v>52</v>
      </c>
      <c r="D29" s="242">
        <f>D13*'Domaine sc'!E39</f>
        <v>35</v>
      </c>
      <c r="E29" s="242">
        <f>E13*'Domaine sc'!F39</f>
        <v>47</v>
      </c>
      <c r="F29" s="242">
        <f>F13*'Domaine sc'!G39</f>
        <v>50.999999999999993</v>
      </c>
      <c r="G29" s="242">
        <f>G13*'Domaine sc'!H39</f>
        <v>39</v>
      </c>
      <c r="H29" s="242">
        <f>H13*'Domaine sc'!I39</f>
        <v>43</v>
      </c>
    </row>
    <row r="30" spans="1:8" x14ac:dyDescent="0.2">
      <c r="A30" s="224" t="s">
        <v>15</v>
      </c>
      <c r="B30" s="242">
        <f>B14*'Domaine sc'!C40</f>
        <v>431</v>
      </c>
      <c r="C30" s="242">
        <f>C14*'Domaine sc'!D40</f>
        <v>506.00000000000006</v>
      </c>
      <c r="D30" s="242">
        <f>D14*'Domaine sc'!E40</f>
        <v>485</v>
      </c>
      <c r="E30" s="242">
        <f>E14*'Domaine sc'!F40</f>
        <v>525</v>
      </c>
      <c r="F30" s="242">
        <f>F14*'Domaine sc'!G40</f>
        <v>543</v>
      </c>
      <c r="G30" s="242">
        <f>G14*'Domaine sc'!H40</f>
        <v>576</v>
      </c>
      <c r="H30" s="242">
        <f>H14*'Domaine sc'!I40</f>
        <v>530</v>
      </c>
    </row>
    <row r="31" spans="1:8" x14ac:dyDescent="0.2">
      <c r="A31" s="324" t="s">
        <v>226</v>
      </c>
      <c r="B31" s="325">
        <f>SUM(B20:B29)-B30</f>
        <v>0</v>
      </c>
      <c r="C31" s="326">
        <f t="shared" ref="C31:H31" si="12">SUM(C20:C29)-C30</f>
        <v>6.4184278206369072E-2</v>
      </c>
      <c r="D31" s="325">
        <f t="shared" si="12"/>
        <v>0</v>
      </c>
      <c r="E31" s="325">
        <f t="shared" si="12"/>
        <v>0</v>
      </c>
      <c r="F31" s="325">
        <f t="shared" si="12"/>
        <v>0</v>
      </c>
      <c r="G31" s="325">
        <f t="shared" si="12"/>
        <v>0</v>
      </c>
      <c r="H31" s="325">
        <f t="shared" si="12"/>
        <v>0</v>
      </c>
    </row>
    <row r="32" spans="1:8" x14ac:dyDescent="0.2">
      <c r="A32" s="137" t="s">
        <v>123</v>
      </c>
    </row>
    <row r="34" spans="1:11" ht="18.75" customHeight="1" x14ac:dyDescent="0.2">
      <c r="A34" s="40" t="s">
        <v>229</v>
      </c>
      <c r="B34" s="40"/>
      <c r="C34" s="40"/>
      <c r="D34" s="17"/>
    </row>
    <row r="35" spans="1:11" x14ac:dyDescent="0.2">
      <c r="A35" s="34" t="s">
        <v>102</v>
      </c>
      <c r="B35" s="36">
        <v>2013</v>
      </c>
      <c r="C35" s="36">
        <v>2014</v>
      </c>
      <c r="D35" s="36">
        <v>2015</v>
      </c>
      <c r="E35" s="36">
        <v>2016</v>
      </c>
      <c r="F35" s="36">
        <v>2017</v>
      </c>
      <c r="G35" s="36">
        <v>2018</v>
      </c>
      <c r="H35" s="185">
        <v>2019</v>
      </c>
    </row>
    <row r="36" spans="1:11" x14ac:dyDescent="0.2">
      <c r="A36" s="38" t="s">
        <v>34</v>
      </c>
      <c r="B36" s="38">
        <f>SUM(B20:B25)</f>
        <v>231</v>
      </c>
      <c r="C36" s="332">
        <f t="shared" ref="C36:H36" si="13">SUM(C20:C25)</f>
        <v>232.06418427820643</v>
      </c>
      <c r="D36" s="38">
        <f t="shared" si="13"/>
        <v>226</v>
      </c>
      <c r="E36" s="38">
        <f t="shared" si="13"/>
        <v>230</v>
      </c>
      <c r="F36" s="38">
        <f t="shared" si="13"/>
        <v>256</v>
      </c>
      <c r="G36" s="38">
        <f t="shared" si="13"/>
        <v>238</v>
      </c>
      <c r="H36" s="38">
        <f t="shared" si="13"/>
        <v>249</v>
      </c>
    </row>
    <row r="37" spans="1:11" x14ac:dyDescent="0.2">
      <c r="A37" s="38" t="s">
        <v>74</v>
      </c>
      <c r="B37" s="38">
        <f>B26+B27</f>
        <v>124</v>
      </c>
      <c r="C37" s="38">
        <f t="shared" ref="C37:H37" si="14">C26+C27</f>
        <v>150</v>
      </c>
      <c r="D37" s="38">
        <f t="shared" si="14"/>
        <v>159</v>
      </c>
      <c r="E37" s="38">
        <f t="shared" si="14"/>
        <v>171</v>
      </c>
      <c r="F37" s="38">
        <f t="shared" si="14"/>
        <v>173</v>
      </c>
      <c r="G37" s="38">
        <f t="shared" si="14"/>
        <v>217</v>
      </c>
      <c r="H37" s="38">
        <f t="shared" si="14"/>
        <v>175</v>
      </c>
    </row>
    <row r="38" spans="1:11" ht="13.5" thickBot="1" x14ac:dyDescent="0.25">
      <c r="A38" s="102" t="s">
        <v>33</v>
      </c>
      <c r="B38" s="102">
        <f>B28+B29</f>
        <v>76</v>
      </c>
      <c r="C38" s="102">
        <f t="shared" ref="C38:H38" si="15">C28+C29</f>
        <v>124</v>
      </c>
      <c r="D38" s="102">
        <f t="shared" si="15"/>
        <v>100</v>
      </c>
      <c r="E38" s="102">
        <f t="shared" si="15"/>
        <v>124</v>
      </c>
      <c r="F38" s="102">
        <f t="shared" si="15"/>
        <v>113.99999999999999</v>
      </c>
      <c r="G38" s="102">
        <f t="shared" si="15"/>
        <v>121</v>
      </c>
      <c r="H38" s="102">
        <f t="shared" si="15"/>
        <v>106</v>
      </c>
    </row>
    <row r="39" spans="1:11" x14ac:dyDescent="0.2">
      <c r="A39" s="95" t="s">
        <v>15</v>
      </c>
      <c r="B39" s="95">
        <f>B30</f>
        <v>431</v>
      </c>
      <c r="C39" s="95">
        <f t="shared" ref="C39:H39" si="16">C30</f>
        <v>506.00000000000006</v>
      </c>
      <c r="D39" s="95">
        <f t="shared" si="16"/>
        <v>485</v>
      </c>
      <c r="E39" s="95">
        <f t="shared" si="16"/>
        <v>525</v>
      </c>
      <c r="F39" s="95">
        <f t="shared" si="16"/>
        <v>543</v>
      </c>
      <c r="G39" s="95">
        <f t="shared" si="16"/>
        <v>576</v>
      </c>
      <c r="H39" s="95">
        <f t="shared" si="16"/>
        <v>530</v>
      </c>
    </row>
    <row r="40" spans="1:11" x14ac:dyDescent="0.2">
      <c r="A40" s="137" t="s">
        <v>123</v>
      </c>
      <c r="J40" s="244" t="s">
        <v>134</v>
      </c>
      <c r="K40" s="276"/>
    </row>
    <row r="41" spans="1:11" ht="34.5" customHeight="1" x14ac:dyDescent="0.2">
      <c r="A41" s="40" t="s">
        <v>230</v>
      </c>
      <c r="B41" s="40"/>
      <c r="I41" s="444" t="s">
        <v>234</v>
      </c>
      <c r="J41" s="442" t="s">
        <v>231</v>
      </c>
      <c r="K41" s="441" t="s">
        <v>232</v>
      </c>
    </row>
    <row r="42" spans="1:11" x14ac:dyDescent="0.2">
      <c r="A42" s="34" t="s">
        <v>102</v>
      </c>
      <c r="B42" s="36">
        <v>2013</v>
      </c>
      <c r="C42" s="36">
        <v>2014</v>
      </c>
      <c r="D42" s="36">
        <v>2015</v>
      </c>
      <c r="E42" s="36">
        <v>2016</v>
      </c>
      <c r="F42" s="36">
        <v>2017</v>
      </c>
      <c r="G42" s="185">
        <v>2018</v>
      </c>
      <c r="H42" s="185">
        <v>2019</v>
      </c>
      <c r="I42" s="445"/>
      <c r="J42" s="441"/>
      <c r="K42" s="441"/>
    </row>
    <row r="43" spans="1:11" x14ac:dyDescent="0.2">
      <c r="A43" s="38" t="s">
        <v>34</v>
      </c>
      <c r="B43" s="43">
        <f t="shared" ref="B43:H45" si="17">B36/B$39</f>
        <v>0.53596287703016243</v>
      </c>
      <c r="C43" s="43">
        <f t="shared" si="17"/>
        <v>0.45862487011503239</v>
      </c>
      <c r="D43" s="43">
        <f t="shared" si="17"/>
        <v>0.46597938144329898</v>
      </c>
      <c r="E43" s="43">
        <f t="shared" si="17"/>
        <v>0.43809523809523809</v>
      </c>
      <c r="F43" s="43">
        <f t="shared" si="17"/>
        <v>0.47145488029465932</v>
      </c>
      <c r="G43" s="43">
        <f t="shared" si="17"/>
        <v>0.41319444444444442</v>
      </c>
      <c r="H43" s="43">
        <f t="shared" si="17"/>
        <v>0.46981132075471699</v>
      </c>
      <c r="I43" s="43">
        <f>(F36+G36)/('Domaine sc'!G45+'Domaine sc'!H45)</f>
        <v>0.2819634703196347</v>
      </c>
      <c r="J43" s="43">
        <v>0.31153801865428166</v>
      </c>
      <c r="K43" s="43">
        <f t="shared" ref="K43:K46" si="18">I43-J43</f>
        <v>-2.9574548334646955E-2</v>
      </c>
    </row>
    <row r="44" spans="1:11" x14ac:dyDescent="0.2">
      <c r="A44" s="38" t="s">
        <v>32</v>
      </c>
      <c r="B44" s="43">
        <f t="shared" si="17"/>
        <v>0.28770301624129929</v>
      </c>
      <c r="C44" s="43">
        <f t="shared" si="17"/>
        <v>0.29644268774703553</v>
      </c>
      <c r="D44" s="43">
        <f t="shared" si="17"/>
        <v>0.32783505154639175</v>
      </c>
      <c r="E44" s="43">
        <f t="shared" si="17"/>
        <v>0.32571428571428573</v>
      </c>
      <c r="F44" s="43">
        <f t="shared" si="17"/>
        <v>0.31860036832412525</v>
      </c>
      <c r="G44" s="43">
        <f t="shared" si="17"/>
        <v>0.3767361111111111</v>
      </c>
      <c r="H44" s="43">
        <f t="shared" si="17"/>
        <v>0.330188679245283</v>
      </c>
      <c r="I44" s="43">
        <f>(F37+G37)/('Domaine sc'!G46+'Domaine sc'!H46)</f>
        <v>0.49555273189326554</v>
      </c>
      <c r="J44" s="43">
        <v>0.54483838857009015</v>
      </c>
      <c r="K44" s="43">
        <f t="shared" si="18"/>
        <v>-4.9285656676824607E-2</v>
      </c>
    </row>
    <row r="45" spans="1:11" ht="13.5" thickBot="1" x14ac:dyDescent="0.25">
      <c r="A45" s="102" t="s">
        <v>33</v>
      </c>
      <c r="B45" s="105">
        <f t="shared" si="17"/>
        <v>0.17633410672853828</v>
      </c>
      <c r="C45" s="105">
        <f t="shared" si="17"/>
        <v>0.24505928853754938</v>
      </c>
      <c r="D45" s="105">
        <f t="shared" si="17"/>
        <v>0.20618556701030927</v>
      </c>
      <c r="E45" s="105">
        <f t="shared" si="17"/>
        <v>0.2361904761904762</v>
      </c>
      <c r="F45" s="105">
        <f t="shared" si="17"/>
        <v>0.20994475138121543</v>
      </c>
      <c r="G45" s="105">
        <f t="shared" si="17"/>
        <v>0.21006944444444445</v>
      </c>
      <c r="H45" s="105">
        <f t="shared" si="17"/>
        <v>0.2</v>
      </c>
      <c r="I45" s="105">
        <f>(F38+G38)/('Domaine sc'!G47+'Domaine sc'!H47)</f>
        <v>0.59644670050761417</v>
      </c>
      <c r="J45" s="105">
        <v>0.56728112499484518</v>
      </c>
      <c r="K45" s="105">
        <f t="shared" si="18"/>
        <v>2.9165575512768993E-2</v>
      </c>
    </row>
    <row r="46" spans="1:11" x14ac:dyDescent="0.2">
      <c r="A46" s="95" t="s">
        <v>15</v>
      </c>
      <c r="B46" s="103">
        <f>SUM(B43:B45)</f>
        <v>1</v>
      </c>
      <c r="C46" s="103">
        <f t="shared" ref="C46:H46" si="19">SUM(C43:C45)</f>
        <v>1.0001268463996174</v>
      </c>
      <c r="D46" s="103">
        <f t="shared" si="19"/>
        <v>1</v>
      </c>
      <c r="E46" s="103">
        <f t="shared" si="19"/>
        <v>1</v>
      </c>
      <c r="F46" s="103">
        <f t="shared" si="19"/>
        <v>1</v>
      </c>
      <c r="G46" s="103">
        <f t="shared" si="19"/>
        <v>1</v>
      </c>
      <c r="H46" s="103">
        <f t="shared" si="19"/>
        <v>1</v>
      </c>
      <c r="I46" s="103">
        <f>(F39+G39)/('Domaine sc'!G48+'Domaine sc'!H48)</f>
        <v>0.38152062734401637</v>
      </c>
      <c r="J46" s="103">
        <v>0.46457035813281539</v>
      </c>
      <c r="K46" s="103">
        <f t="shared" si="18"/>
        <v>-8.3049730788799014E-2</v>
      </c>
    </row>
    <row r="47" spans="1:11" x14ac:dyDescent="0.2">
      <c r="A47" s="137" t="s">
        <v>123</v>
      </c>
      <c r="B47" s="4"/>
      <c r="C47" s="4"/>
      <c r="D47" s="4"/>
      <c r="E47" s="4"/>
      <c r="F47" s="4"/>
      <c r="G47" s="4"/>
      <c r="H47" s="4"/>
    </row>
    <row r="48" spans="1:11" x14ac:dyDescent="0.2">
      <c r="A48" s="137"/>
      <c r="B48" s="4"/>
      <c r="C48" s="4"/>
      <c r="D48" s="4"/>
      <c r="E48" s="4"/>
      <c r="F48" s="4"/>
      <c r="G48" s="4"/>
      <c r="H48" s="4"/>
    </row>
    <row r="49" spans="1:12" ht="12.75" customHeight="1" x14ac:dyDescent="0.2">
      <c r="A49" s="6" t="s">
        <v>261</v>
      </c>
    </row>
    <row r="50" spans="1:12" s="6" customFormat="1" x14ac:dyDescent="0.2">
      <c r="A50" s="6" t="s">
        <v>227</v>
      </c>
    </row>
    <row r="51" spans="1:12" ht="51" x14ac:dyDescent="0.2">
      <c r="A51" s="224"/>
      <c r="B51" s="224" t="s">
        <v>10</v>
      </c>
      <c r="C51" s="224" t="s">
        <v>11</v>
      </c>
      <c r="D51" s="224" t="s">
        <v>9</v>
      </c>
      <c r="E51" s="224" t="s">
        <v>159</v>
      </c>
      <c r="F51" s="224" t="s">
        <v>12</v>
      </c>
      <c r="G51" s="224" t="s">
        <v>13</v>
      </c>
      <c r="H51" s="224" t="s">
        <v>8</v>
      </c>
      <c r="I51" s="224" t="s">
        <v>4</v>
      </c>
      <c r="J51" s="224" t="s">
        <v>14</v>
      </c>
      <c r="K51" s="224" t="s">
        <v>160</v>
      </c>
      <c r="L51" s="224" t="s">
        <v>15</v>
      </c>
    </row>
    <row r="52" spans="1:12" x14ac:dyDescent="0.2">
      <c r="A52" s="225">
        <v>2013</v>
      </c>
      <c r="B52" s="226">
        <v>0.13861386138613863</v>
      </c>
      <c r="C52" s="226">
        <v>0.2857142857142857</v>
      </c>
      <c r="D52" s="226">
        <v>0.5</v>
      </c>
      <c r="E52" s="226">
        <v>0.4859154929577465</v>
      </c>
      <c r="F52" s="226">
        <v>0.53086419753086422</v>
      </c>
      <c r="G52" s="226">
        <v>0.41496598639455784</v>
      </c>
      <c r="H52" s="226">
        <v>0.39873417721518989</v>
      </c>
      <c r="I52" s="226">
        <v>0.24291497975708501</v>
      </c>
      <c r="J52" s="226">
        <v>0.27737226277372262</v>
      </c>
      <c r="K52" s="226">
        <v>0.61111111111111116</v>
      </c>
      <c r="L52" s="226">
        <v>0.34842360549717055</v>
      </c>
    </row>
    <row r="53" spans="1:12" x14ac:dyDescent="0.2">
      <c r="A53" s="227">
        <v>2014</v>
      </c>
      <c r="B53" s="228">
        <v>0.25352112676056338</v>
      </c>
      <c r="C53" s="228">
        <v>0.29166666666666669</v>
      </c>
      <c r="D53" s="228">
        <v>0.41666666666666669</v>
      </c>
      <c r="E53" s="228">
        <v>0.4550561797752809</v>
      </c>
      <c r="F53" s="228">
        <v>0.58064516129032262</v>
      </c>
      <c r="G53" s="228">
        <v>0.46012269938650308</v>
      </c>
      <c r="H53" s="228">
        <v>0.43352601156069365</v>
      </c>
      <c r="I53" s="228">
        <v>0.24242424242424243</v>
      </c>
      <c r="J53" s="228">
        <v>0.21033210332103322</v>
      </c>
      <c r="K53" s="228">
        <v>0.72222222222222221</v>
      </c>
      <c r="L53" s="228">
        <v>0.37426035502958582</v>
      </c>
    </row>
    <row r="54" spans="1:12" x14ac:dyDescent="0.2">
      <c r="A54" s="229">
        <v>2015</v>
      </c>
      <c r="B54" s="230">
        <v>0.22727272727272727</v>
      </c>
      <c r="C54" s="230">
        <v>0.375</v>
      </c>
      <c r="D54" s="230">
        <v>0.25</v>
      </c>
      <c r="E54" s="230">
        <v>0.42690058479532161</v>
      </c>
      <c r="F54" s="230">
        <v>0.55084745762711862</v>
      </c>
      <c r="G54" s="230">
        <v>0.40462427745664742</v>
      </c>
      <c r="H54" s="230">
        <v>0.52352941176470591</v>
      </c>
      <c r="I54" s="230">
        <v>0.20377358490566039</v>
      </c>
      <c r="J54" s="230">
        <v>0.22916666666666666</v>
      </c>
      <c r="K54" s="230">
        <v>0.5</v>
      </c>
      <c r="L54" s="230">
        <v>0.35068691250903833</v>
      </c>
    </row>
    <row r="55" spans="1:12" x14ac:dyDescent="0.2">
      <c r="A55" s="231">
        <v>2016</v>
      </c>
      <c r="B55" s="232">
        <v>0.29032258064516131</v>
      </c>
      <c r="C55" s="232">
        <v>0.46153846153846156</v>
      </c>
      <c r="D55" s="232">
        <v>0.21428571428571427</v>
      </c>
      <c r="E55" s="232">
        <v>0.40322580645161288</v>
      </c>
      <c r="F55" s="232">
        <v>0.69369369369369371</v>
      </c>
      <c r="G55" s="232">
        <v>0.43062200956937802</v>
      </c>
      <c r="H55" s="232">
        <v>0.5</v>
      </c>
      <c r="I55" s="232">
        <v>0.26996197718631176</v>
      </c>
      <c r="J55" s="232">
        <v>0.20212765957446807</v>
      </c>
      <c r="K55" s="232">
        <v>0.62666666666666671</v>
      </c>
      <c r="L55" s="232">
        <v>0.38126361655773422</v>
      </c>
    </row>
    <row r="56" spans="1:12" x14ac:dyDescent="0.2">
      <c r="A56" s="233">
        <v>2017</v>
      </c>
      <c r="B56" s="234">
        <v>0.25</v>
      </c>
      <c r="C56" s="234">
        <v>0.35294117647058826</v>
      </c>
      <c r="D56" s="234">
        <v>0.53333333333333333</v>
      </c>
      <c r="E56" s="234">
        <v>0.43678160919540232</v>
      </c>
      <c r="F56" s="234">
        <v>0.60576923076923073</v>
      </c>
      <c r="G56" s="234">
        <v>0.44976076555023925</v>
      </c>
      <c r="H56" s="234">
        <v>0.50641025641025639</v>
      </c>
      <c r="I56" s="234">
        <v>0.24535315985130113</v>
      </c>
      <c r="J56" s="234">
        <v>0.24850299401197604</v>
      </c>
      <c r="K56" s="234">
        <v>0.58620689655172409</v>
      </c>
      <c r="L56" s="234">
        <v>0.37892533147243546</v>
      </c>
    </row>
    <row r="57" spans="1:12" x14ac:dyDescent="0.2">
      <c r="A57" s="235">
        <v>2018</v>
      </c>
      <c r="B57" s="236">
        <v>0.2537313432835821</v>
      </c>
      <c r="C57" s="236">
        <v>0.31818181818181818</v>
      </c>
      <c r="D57" s="236">
        <v>0.4375</v>
      </c>
      <c r="E57" s="236">
        <v>0.41212121212121211</v>
      </c>
      <c r="F57" s="236">
        <v>0.6029411764705882</v>
      </c>
      <c r="G57" s="236">
        <v>0.45023696682464454</v>
      </c>
      <c r="H57" s="236">
        <v>0.5781990521327014</v>
      </c>
      <c r="I57" s="236">
        <v>0.25390625</v>
      </c>
      <c r="J57" s="236">
        <v>0.21203438395415472</v>
      </c>
      <c r="K57" s="236">
        <v>0.58208955223880599</v>
      </c>
      <c r="L57" s="236">
        <v>0.38400000000000001</v>
      </c>
    </row>
    <row r="58" spans="1:12" x14ac:dyDescent="0.2">
      <c r="A58" s="237">
        <v>2019</v>
      </c>
      <c r="B58" s="238">
        <v>0.21794871794871795</v>
      </c>
      <c r="C58" s="238">
        <v>0.52631578947368418</v>
      </c>
      <c r="D58" s="238">
        <v>0.2857142857142857</v>
      </c>
      <c r="E58" s="238">
        <v>0.42857142857142855</v>
      </c>
      <c r="F58" s="238">
        <v>0.53389830508474578</v>
      </c>
      <c r="G58" s="238">
        <v>0.43269230769230771</v>
      </c>
      <c r="H58" s="238">
        <v>0.52469135802469136</v>
      </c>
      <c r="I58" s="238">
        <v>0.27272727272727271</v>
      </c>
      <c r="J58" s="238">
        <v>0.20923076923076922</v>
      </c>
      <c r="K58" s="238">
        <v>0.59722222222222221</v>
      </c>
      <c r="L58" s="238">
        <v>0.36551724137931035</v>
      </c>
    </row>
  </sheetData>
  <mergeCells count="6">
    <mergeCell ref="J2:J3"/>
    <mergeCell ref="K2:K3"/>
    <mergeCell ref="J41:J42"/>
    <mergeCell ref="K41:K42"/>
    <mergeCell ref="I2:I3"/>
    <mergeCell ref="I41:I42"/>
  </mergeCells>
  <pageMargins left="0.23622047244094491" right="0" top="0.35433070866141736" bottom="0.35433070866141736" header="0" footer="0.31496062992125984"/>
  <pageSetup paperSize="9" scale="73" fitToHeight="2" orientation="landscape" r:id="rId1"/>
  <rowBreaks count="1" manualBreakCount="1">
    <brk id="33" max="1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Q26"/>
  <sheetViews>
    <sheetView showGridLines="0" zoomScaleNormal="100" workbookViewId="0">
      <selection activeCell="F11" sqref="F11"/>
    </sheetView>
  </sheetViews>
  <sheetFormatPr baseColWidth="10" defaultRowHeight="12.75" x14ac:dyDescent="0.2"/>
  <cols>
    <col min="1" max="1" width="24.85546875" customWidth="1"/>
    <col min="2" max="3" width="6.140625" customWidth="1"/>
    <col min="4" max="8" width="9.140625" customWidth="1"/>
    <col min="9" max="10" width="11.85546875" customWidth="1"/>
    <col min="11" max="11" width="16.5703125" customWidth="1"/>
  </cols>
  <sheetData>
    <row r="1" spans="1:15" ht="14.25" customHeight="1" x14ac:dyDescent="0.2">
      <c r="A1" s="40" t="s">
        <v>132</v>
      </c>
      <c r="B1" s="40"/>
      <c r="C1" s="40"/>
      <c r="D1" s="40"/>
    </row>
    <row r="2" spans="1:15" ht="21.75" customHeight="1" x14ac:dyDescent="0.2">
      <c r="A2" s="470" t="s">
        <v>81</v>
      </c>
      <c r="B2" s="464">
        <v>2012</v>
      </c>
      <c r="C2" s="464">
        <v>2013</v>
      </c>
      <c r="D2" s="464">
        <v>2014</v>
      </c>
      <c r="E2" s="464">
        <v>2015</v>
      </c>
      <c r="F2" s="464">
        <v>2016</v>
      </c>
      <c r="G2" s="464">
        <v>2017</v>
      </c>
      <c r="H2" s="464">
        <v>2018</v>
      </c>
      <c r="I2" s="466">
        <v>2019</v>
      </c>
      <c r="J2" s="467"/>
      <c r="K2" s="468" t="s">
        <v>146</v>
      </c>
      <c r="L2" s="461" t="s">
        <v>242</v>
      </c>
      <c r="M2" s="461" t="s">
        <v>243</v>
      </c>
    </row>
    <row r="3" spans="1:15" ht="16.5" customHeight="1" x14ac:dyDescent="0.2">
      <c r="A3" s="471"/>
      <c r="B3" s="465"/>
      <c r="C3" s="465"/>
      <c r="D3" s="465"/>
      <c r="E3" s="465"/>
      <c r="F3" s="465"/>
      <c r="G3" s="465"/>
      <c r="H3" s="465"/>
      <c r="I3" s="36" t="s">
        <v>82</v>
      </c>
      <c r="J3" s="350" t="s">
        <v>16</v>
      </c>
      <c r="K3" s="469"/>
      <c r="L3" s="462"/>
      <c r="M3" s="462"/>
    </row>
    <row r="4" spans="1:15" x14ac:dyDescent="0.2">
      <c r="A4" s="42" t="s">
        <v>20</v>
      </c>
      <c r="B4" s="82">
        <v>480</v>
      </c>
      <c r="C4" s="82">
        <v>460</v>
      </c>
      <c r="D4" s="82">
        <v>477</v>
      </c>
      <c r="E4" s="80">
        <v>558</v>
      </c>
      <c r="F4" s="80">
        <v>553</v>
      </c>
      <c r="G4" s="80">
        <v>598</v>
      </c>
      <c r="H4" s="80">
        <v>600</v>
      </c>
      <c r="I4" s="42">
        <v>520</v>
      </c>
      <c r="J4" s="187">
        <f>I4/I$8</f>
        <v>0.35862068965517241</v>
      </c>
      <c r="K4" s="188">
        <f>I4/Employeur!I4</f>
        <v>1.0924369747899159</v>
      </c>
      <c r="L4" s="43">
        <f>(B4+C4)/(B$8+C$8)</f>
        <v>0.35809523809523808</v>
      </c>
      <c r="M4" s="43">
        <f>J4-L4</f>
        <v>5.2545155993433124E-4</v>
      </c>
    </row>
    <row r="5" spans="1:15" x14ac:dyDescent="0.2">
      <c r="A5" s="42" t="s">
        <v>26</v>
      </c>
      <c r="B5" s="82">
        <v>137</v>
      </c>
      <c r="C5" s="82">
        <v>129</v>
      </c>
      <c r="D5" s="82">
        <v>171</v>
      </c>
      <c r="E5" s="80">
        <v>137</v>
      </c>
      <c r="F5" s="80">
        <v>170</v>
      </c>
      <c r="G5" s="80">
        <v>171</v>
      </c>
      <c r="H5" s="80">
        <v>208</v>
      </c>
      <c r="I5" s="42">
        <v>182</v>
      </c>
      <c r="J5" s="187">
        <f>I5/I$8</f>
        <v>0.12551724137931033</v>
      </c>
      <c r="K5" s="188">
        <f>I5/Employeur!I5</f>
        <v>1.421875</v>
      </c>
      <c r="L5" s="43">
        <f>(B5+C5)/(B$8+C$8)</f>
        <v>0.10133333333333333</v>
      </c>
      <c r="M5" s="43">
        <f t="shared" ref="M5:M8" si="0">J5-L5</f>
        <v>2.4183908045977004E-2</v>
      </c>
    </row>
    <row r="6" spans="1:15" ht="27" customHeight="1" x14ac:dyDescent="0.2">
      <c r="A6" s="81" t="s">
        <v>68</v>
      </c>
      <c r="B6" s="90">
        <v>700</v>
      </c>
      <c r="C6" s="90">
        <v>598</v>
      </c>
      <c r="D6" s="90">
        <v>629</v>
      </c>
      <c r="E6" s="80">
        <v>618</v>
      </c>
      <c r="F6" s="80">
        <v>598</v>
      </c>
      <c r="G6" s="80">
        <v>583</v>
      </c>
      <c r="H6" s="80">
        <v>611</v>
      </c>
      <c r="I6" s="42">
        <v>629</v>
      </c>
      <c r="J6" s="187">
        <f>I6/I$8</f>
        <v>0.43379310344827587</v>
      </c>
      <c r="K6" s="188">
        <f>I6/Employeur!I6</f>
        <v>5.5663716814159292</v>
      </c>
      <c r="L6" s="43">
        <f>(B6+C6)/(B$8+C$8)</f>
        <v>0.49447619047619046</v>
      </c>
      <c r="M6" s="43">
        <f t="shared" si="0"/>
        <v>-6.0683087027914584E-2</v>
      </c>
    </row>
    <row r="7" spans="1:15" ht="24.75" thickBot="1" x14ac:dyDescent="0.25">
      <c r="A7" s="110" t="s">
        <v>27</v>
      </c>
      <c r="B7" s="111">
        <v>69</v>
      </c>
      <c r="C7" s="111">
        <v>52</v>
      </c>
      <c r="D7" s="111">
        <v>75</v>
      </c>
      <c r="E7" s="112">
        <v>70</v>
      </c>
      <c r="F7" s="112">
        <v>56</v>
      </c>
      <c r="G7" s="112">
        <v>81</v>
      </c>
      <c r="H7" s="112">
        <v>81</v>
      </c>
      <c r="I7" s="183">
        <v>119</v>
      </c>
      <c r="J7" s="192">
        <f>I7/I$8</f>
        <v>8.2068965517241382E-2</v>
      </c>
      <c r="K7" s="189">
        <f>I7/Employeur!I7</f>
        <v>1.2268041237113403</v>
      </c>
      <c r="L7" s="43">
        <f>(B7+C7)/(B$8+C$8)</f>
        <v>4.6095238095238092E-2</v>
      </c>
      <c r="M7" s="43">
        <f t="shared" si="0"/>
        <v>3.597372742200329E-2</v>
      </c>
    </row>
    <row r="8" spans="1:15" x14ac:dyDescent="0.2">
      <c r="A8" s="95" t="s">
        <v>95</v>
      </c>
      <c r="B8" s="109">
        <f t="shared" ref="B8:F8" si="1">SUM(B4:B7)</f>
        <v>1386</v>
      </c>
      <c r="C8" s="109">
        <f t="shared" si="1"/>
        <v>1239</v>
      </c>
      <c r="D8" s="109">
        <f t="shared" si="1"/>
        <v>1352</v>
      </c>
      <c r="E8" s="109">
        <f t="shared" si="1"/>
        <v>1383</v>
      </c>
      <c r="F8" s="109">
        <f t="shared" si="1"/>
        <v>1377</v>
      </c>
      <c r="G8" s="109">
        <f>SUM(G4:G7)</f>
        <v>1433</v>
      </c>
      <c r="H8" s="109">
        <v>1500</v>
      </c>
      <c r="I8" s="346">
        <f>SUM(I4:I7)</f>
        <v>1450</v>
      </c>
      <c r="J8" s="190">
        <f>I8/I$8</f>
        <v>1</v>
      </c>
      <c r="K8" s="191">
        <f>I8/Employeur!I8</f>
        <v>1.7813267813267812</v>
      </c>
      <c r="L8" s="43">
        <f>(B8+C8)/(B$8+C$8)</f>
        <v>1</v>
      </c>
      <c r="M8" s="43">
        <f t="shared" si="0"/>
        <v>0</v>
      </c>
    </row>
    <row r="9" spans="1:15" ht="23.25" customHeight="1" x14ac:dyDescent="0.2">
      <c r="A9" s="123" t="s">
        <v>94</v>
      </c>
      <c r="B9" s="124">
        <f>'Cifre Employeur'!B8/Employeur!B8</f>
        <v>1.9143646408839778</v>
      </c>
      <c r="C9" s="124">
        <f>C8/Employeur!C8</f>
        <v>1.7878787878787878</v>
      </c>
      <c r="D9" s="124">
        <f>D8/Employeur!D8</f>
        <v>1.8245614035087718</v>
      </c>
      <c r="E9" s="124">
        <f>E8/Employeur!E8</f>
        <v>1.7640306122448979</v>
      </c>
      <c r="F9" s="124">
        <f>F8/Employeur!F8</f>
        <v>1.7364438839848675</v>
      </c>
      <c r="G9" s="124">
        <f>G8/Employeur!G8</f>
        <v>1.6858823529411764</v>
      </c>
      <c r="H9" s="124">
        <f>H8/Employeur!H8</f>
        <v>1.7201834862385321</v>
      </c>
      <c r="I9" s="124">
        <f>I8/Employeur!I8</f>
        <v>1.7813267813267812</v>
      </c>
      <c r="J9" s="125"/>
      <c r="K9" s="126"/>
      <c r="M9" s="22"/>
      <c r="O9" s="24"/>
    </row>
    <row r="10" spans="1:15" x14ac:dyDescent="0.2">
      <c r="A10" s="137" t="s">
        <v>123</v>
      </c>
      <c r="B10" s="44"/>
      <c r="C10" s="44"/>
      <c r="D10" s="44"/>
      <c r="E10" s="44"/>
      <c r="F10" s="44"/>
      <c r="G10" s="44"/>
      <c r="H10" s="44"/>
      <c r="I10" s="44"/>
      <c r="J10" s="45"/>
      <c r="K10" s="46"/>
      <c r="M10" s="22"/>
      <c r="O10" s="24"/>
    </row>
    <row r="11" spans="1:15" ht="18.75" x14ac:dyDescent="0.3">
      <c r="A11" s="137"/>
      <c r="B11" s="44"/>
      <c r="C11" s="44"/>
      <c r="D11" s="44"/>
      <c r="E11" s="44"/>
      <c r="F11" s="349"/>
      <c r="G11" s="44"/>
      <c r="H11" s="44"/>
      <c r="I11" s="44"/>
      <c r="K11" s="46"/>
      <c r="M11" s="22"/>
      <c r="O11" s="24"/>
    </row>
    <row r="12" spans="1:15" ht="13.5" customHeight="1" x14ac:dyDescent="0.2">
      <c r="A12" s="463" t="s">
        <v>116</v>
      </c>
      <c r="B12" s="463"/>
      <c r="C12" s="463"/>
      <c r="D12" s="463"/>
      <c r="E12" s="463"/>
      <c r="K12" s="23"/>
      <c r="M12" s="22"/>
      <c r="O12" s="24"/>
    </row>
    <row r="13" spans="1:15" ht="40.5" customHeight="1" x14ac:dyDescent="0.2">
      <c r="A13" s="455" t="s">
        <v>81</v>
      </c>
      <c r="B13" s="456"/>
      <c r="C13" s="457"/>
      <c r="D13" s="48" t="s">
        <v>126</v>
      </c>
      <c r="E13" s="48" t="s">
        <v>127</v>
      </c>
      <c r="F13" s="48" t="s">
        <v>125</v>
      </c>
      <c r="G13" s="48" t="s">
        <v>137</v>
      </c>
      <c r="H13" s="48" t="s">
        <v>144</v>
      </c>
      <c r="I13" s="127" t="s">
        <v>147</v>
      </c>
      <c r="K13" s="23"/>
      <c r="M13" s="22"/>
      <c r="O13" s="24"/>
    </row>
    <row r="14" spans="1:15" x14ac:dyDescent="0.2">
      <c r="A14" s="446" t="s">
        <v>20</v>
      </c>
      <c r="B14" s="447"/>
      <c r="C14" s="448"/>
      <c r="D14" s="82">
        <v>398</v>
      </c>
      <c r="E14" s="82">
        <v>376</v>
      </c>
      <c r="F14" s="82">
        <v>431</v>
      </c>
      <c r="G14" s="167">
        <v>405</v>
      </c>
      <c r="H14" s="82">
        <v>329</v>
      </c>
      <c r="I14" s="193">
        <v>0.69</v>
      </c>
      <c r="K14" s="23"/>
      <c r="M14" s="22"/>
      <c r="O14" s="24"/>
    </row>
    <row r="15" spans="1:15" x14ac:dyDescent="0.2">
      <c r="A15" s="446" t="s">
        <v>26</v>
      </c>
      <c r="B15" s="447"/>
      <c r="C15" s="448"/>
      <c r="D15" s="82">
        <v>48</v>
      </c>
      <c r="E15" s="82">
        <v>72</v>
      </c>
      <c r="F15" s="82">
        <v>80</v>
      </c>
      <c r="G15" s="167">
        <v>84</v>
      </c>
      <c r="H15" s="82">
        <v>43</v>
      </c>
      <c r="I15" s="193">
        <v>0.34</v>
      </c>
      <c r="K15" s="23"/>
      <c r="M15" s="22"/>
      <c r="O15" s="24"/>
    </row>
    <row r="16" spans="1:15" ht="24.75" customHeight="1" x14ac:dyDescent="0.2">
      <c r="A16" s="50" t="s">
        <v>68</v>
      </c>
      <c r="B16" s="51"/>
      <c r="C16" s="52"/>
      <c r="D16" s="90">
        <v>12</v>
      </c>
      <c r="E16" s="90">
        <v>19</v>
      </c>
      <c r="F16" s="90">
        <v>12</v>
      </c>
      <c r="G16" s="168">
        <v>23</v>
      </c>
      <c r="H16" s="90">
        <v>17</v>
      </c>
      <c r="I16" s="193" t="s">
        <v>156</v>
      </c>
      <c r="K16" s="23"/>
      <c r="M16" s="22"/>
      <c r="O16" s="24"/>
    </row>
    <row r="17" spans="1:17" ht="13.5" thickBot="1" x14ac:dyDescent="0.25">
      <c r="A17" s="449" t="s">
        <v>27</v>
      </c>
      <c r="B17" s="450"/>
      <c r="C17" s="451"/>
      <c r="D17" s="111">
        <v>49</v>
      </c>
      <c r="E17" s="111">
        <v>36</v>
      </c>
      <c r="F17" s="111">
        <v>50</v>
      </c>
      <c r="G17" s="186">
        <v>46</v>
      </c>
      <c r="H17" s="111">
        <v>67</v>
      </c>
      <c r="I17" s="194">
        <f t="shared" ref="I17" si="2">H17/$H$18</f>
        <v>0.14692982456140352</v>
      </c>
      <c r="K17" s="23"/>
      <c r="M17" s="22"/>
      <c r="O17" s="24"/>
    </row>
    <row r="18" spans="1:17" x14ac:dyDescent="0.2">
      <c r="A18" s="452" t="s">
        <v>15</v>
      </c>
      <c r="B18" s="453"/>
      <c r="C18" s="454"/>
      <c r="D18" s="109">
        <f>SUM(D14:D17)</f>
        <v>507</v>
      </c>
      <c r="E18" s="109">
        <f>SUM(E14:E17)</f>
        <v>503</v>
      </c>
      <c r="F18" s="109">
        <f>SUM(F14:F17)</f>
        <v>573</v>
      </c>
      <c r="G18" s="109">
        <v>558</v>
      </c>
      <c r="H18" s="195">
        <f>SUM(H14:H17)</f>
        <v>456</v>
      </c>
      <c r="I18" s="196">
        <f>H18/I8</f>
        <v>0.31448275862068964</v>
      </c>
      <c r="K18" s="23"/>
      <c r="M18" s="22"/>
      <c r="O18" s="24"/>
    </row>
    <row r="19" spans="1:17" x14ac:dyDescent="0.2">
      <c r="A19" s="458" t="s">
        <v>93</v>
      </c>
      <c r="B19" s="459"/>
      <c r="C19" s="460"/>
      <c r="D19" s="122">
        <f>D18/E8</f>
        <v>0.36659436008676788</v>
      </c>
      <c r="E19" s="122">
        <f>E18/F8</f>
        <v>0.36528685548293394</v>
      </c>
      <c r="F19" s="122">
        <f>F18/G8</f>
        <v>0.39986043265875787</v>
      </c>
      <c r="G19" s="122">
        <f>G18/H8</f>
        <v>0.372</v>
      </c>
      <c r="H19" s="122">
        <f>H18/I8</f>
        <v>0.31448275862068964</v>
      </c>
      <c r="I19" s="82"/>
      <c r="J19" s="7"/>
      <c r="K19" s="23"/>
      <c r="M19" s="22"/>
      <c r="O19" s="24"/>
      <c r="P19" s="7"/>
    </row>
    <row r="20" spans="1:17" x14ac:dyDescent="0.2">
      <c r="A20" s="63" t="s">
        <v>104</v>
      </c>
      <c r="B20" s="63"/>
      <c r="C20" s="63"/>
      <c r="D20" s="63"/>
    </row>
    <row r="21" spans="1:17" x14ac:dyDescent="0.2">
      <c r="A21" s="137" t="s">
        <v>123</v>
      </c>
    </row>
    <row r="26" spans="1:17" ht="15.75" x14ac:dyDescent="0.25">
      <c r="Q26" s="320"/>
    </row>
  </sheetData>
  <mergeCells count="19">
    <mergeCell ref="L2:L3"/>
    <mergeCell ref="M2:M3"/>
    <mergeCell ref="A12:E12"/>
    <mergeCell ref="E2:E3"/>
    <mergeCell ref="F2:F3"/>
    <mergeCell ref="I2:J2"/>
    <mergeCell ref="K2:K3"/>
    <mergeCell ref="A2:A3"/>
    <mergeCell ref="B2:B3"/>
    <mergeCell ref="C2:C3"/>
    <mergeCell ref="D2:D3"/>
    <mergeCell ref="G2:G3"/>
    <mergeCell ref="H2:H3"/>
    <mergeCell ref="A15:C15"/>
    <mergeCell ref="A17:C17"/>
    <mergeCell ref="A18:C18"/>
    <mergeCell ref="A13:C13"/>
    <mergeCell ref="A19:C19"/>
    <mergeCell ref="A14:C14"/>
  </mergeCells>
  <pageMargins left="0.23622047244094491" right="0" top="0.35433070866141736" bottom="0.35433070866141736" header="0" footer="0.31496062992125984"/>
  <pageSetup paperSize="9" scale="72" orientation="landscape" r:id="rId1"/>
  <ignoredErrors>
    <ignoredError sqref="B8:H8" formulaRange="1"/>
    <ignoredError sqref="C9:G9" formulaRange="1" unlockedFormula="1"/>
    <ignoredError sqref="H9:I9" unlocked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R37"/>
  <sheetViews>
    <sheetView showGridLines="0" zoomScaleNormal="100" workbookViewId="0">
      <selection activeCell="A9" sqref="A9"/>
    </sheetView>
  </sheetViews>
  <sheetFormatPr baseColWidth="10" defaultRowHeight="12.75" x14ac:dyDescent="0.2"/>
  <cols>
    <col min="1" max="1" width="25" customWidth="1"/>
    <col min="2" max="4" width="8.5703125" customWidth="1"/>
    <col min="5" max="6" width="9.5703125" customWidth="1"/>
    <col min="7" max="7" width="9.140625" customWidth="1"/>
    <col min="8" max="9" width="9.42578125" customWidth="1"/>
    <col min="10" max="10" width="9.5703125" customWidth="1"/>
    <col min="11" max="11" width="5.7109375" customWidth="1"/>
    <col min="12" max="12" width="23.7109375" customWidth="1"/>
    <col min="13" max="13" width="8.7109375" customWidth="1"/>
    <col min="14" max="14" width="9" customWidth="1"/>
    <col min="15" max="15" width="11.85546875" customWidth="1"/>
    <col min="16" max="16" width="9.7109375" customWidth="1"/>
    <col min="17" max="17" width="11.5703125" customWidth="1"/>
    <col min="18" max="18" width="11" customWidth="1"/>
  </cols>
  <sheetData>
    <row r="1" spans="1:18" x14ac:dyDescent="0.2">
      <c r="A1" s="6" t="s">
        <v>117</v>
      </c>
      <c r="B1" s="6"/>
      <c r="C1" s="6"/>
      <c r="L1" s="486" t="s">
        <v>145</v>
      </c>
      <c r="M1" s="486"/>
      <c r="N1" s="486"/>
      <c r="O1" s="486"/>
      <c r="P1" s="47"/>
      <c r="Q1" s="47"/>
      <c r="R1" s="47"/>
    </row>
    <row r="2" spans="1:18" ht="14.25" customHeight="1" x14ac:dyDescent="0.2">
      <c r="K2" s="25"/>
      <c r="L2" s="493" t="s">
        <v>81</v>
      </c>
      <c r="M2" s="444" t="s">
        <v>105</v>
      </c>
      <c r="N2" s="495" t="s">
        <v>16</v>
      </c>
      <c r="O2" s="489" t="s">
        <v>83</v>
      </c>
      <c r="P2" s="490"/>
      <c r="Q2" s="490"/>
      <c r="R2" s="491"/>
    </row>
    <row r="3" spans="1:18" ht="39" customHeight="1" x14ac:dyDescent="0.2">
      <c r="A3" s="91" t="s">
        <v>81</v>
      </c>
      <c r="B3" s="36">
        <v>2012</v>
      </c>
      <c r="C3" s="36">
        <v>2013</v>
      </c>
      <c r="D3" s="36">
        <v>2014</v>
      </c>
      <c r="E3" s="36">
        <v>2015</v>
      </c>
      <c r="F3" s="36">
        <v>2016</v>
      </c>
      <c r="G3" s="36">
        <v>2017</v>
      </c>
      <c r="H3" s="36">
        <v>2018</v>
      </c>
      <c r="I3" s="36">
        <v>2019</v>
      </c>
      <c r="J3" s="53" t="s">
        <v>138</v>
      </c>
      <c r="K3" s="25"/>
      <c r="L3" s="494"/>
      <c r="M3" s="492"/>
      <c r="N3" s="496"/>
      <c r="O3" s="84" t="s">
        <v>149</v>
      </c>
      <c r="P3" s="36" t="s">
        <v>16</v>
      </c>
      <c r="Q3" s="48" t="s">
        <v>150</v>
      </c>
      <c r="R3" s="48" t="s">
        <v>110</v>
      </c>
    </row>
    <row r="4" spans="1:18" ht="15" customHeight="1" x14ac:dyDescent="0.2">
      <c r="A4" s="56" t="s">
        <v>20</v>
      </c>
      <c r="B4" s="85">
        <v>446</v>
      </c>
      <c r="C4" s="85">
        <v>433</v>
      </c>
      <c r="D4" s="85">
        <v>451</v>
      </c>
      <c r="E4" s="86">
        <v>512</v>
      </c>
      <c r="F4" s="86">
        <v>510</v>
      </c>
      <c r="G4" s="86">
        <v>541</v>
      </c>
      <c r="H4" s="169">
        <v>556</v>
      </c>
      <c r="I4" s="85">
        <v>476</v>
      </c>
      <c r="J4" s="87">
        <f>I4/$I$8</f>
        <v>0.58476658476658472</v>
      </c>
      <c r="L4" s="54" t="s">
        <v>20</v>
      </c>
      <c r="M4" s="82">
        <v>520</v>
      </c>
      <c r="N4" s="197">
        <f>M4/M$8</f>
        <v>0.35862068965517241</v>
      </c>
      <c r="O4" s="82">
        <v>476</v>
      </c>
      <c r="P4" s="198">
        <f>O4/O$8</f>
        <v>0.58476658476658472</v>
      </c>
      <c r="Q4" s="82">
        <v>329</v>
      </c>
      <c r="R4" s="199">
        <v>0.69</v>
      </c>
    </row>
    <row r="5" spans="1:18" ht="15.75" customHeight="1" x14ac:dyDescent="0.2">
      <c r="A5" s="54" t="s">
        <v>26</v>
      </c>
      <c r="B5" s="85">
        <v>102</v>
      </c>
      <c r="C5" s="85">
        <v>100</v>
      </c>
      <c r="D5" s="85">
        <v>132</v>
      </c>
      <c r="E5" s="86">
        <v>107</v>
      </c>
      <c r="F5" s="86">
        <v>127</v>
      </c>
      <c r="G5" s="86">
        <v>141</v>
      </c>
      <c r="H5" s="169">
        <v>159</v>
      </c>
      <c r="I5" s="85">
        <v>128</v>
      </c>
      <c r="J5" s="87">
        <f>I5/$I$8</f>
        <v>0.15724815724815724</v>
      </c>
      <c r="L5" s="82" t="s">
        <v>26</v>
      </c>
      <c r="M5" s="82">
        <v>182</v>
      </c>
      <c r="N5" s="198">
        <f t="shared" ref="N5:P8" si="0">M5/M$8</f>
        <v>0.12551724137931033</v>
      </c>
      <c r="O5" s="82">
        <v>128</v>
      </c>
      <c r="P5" s="198">
        <f t="shared" si="0"/>
        <v>0.15724815724815724</v>
      </c>
      <c r="Q5" s="82">
        <v>43</v>
      </c>
      <c r="R5" s="199">
        <f>I32</f>
        <v>0.3359375</v>
      </c>
    </row>
    <row r="6" spans="1:18" ht="23.25" customHeight="1" x14ac:dyDescent="0.2">
      <c r="A6" s="92" t="s">
        <v>68</v>
      </c>
      <c r="B6" s="88">
        <v>116</v>
      </c>
      <c r="C6" s="88">
        <v>112</v>
      </c>
      <c r="D6" s="88">
        <v>95</v>
      </c>
      <c r="E6" s="86">
        <v>105</v>
      </c>
      <c r="F6" s="86">
        <v>108</v>
      </c>
      <c r="G6" s="86">
        <v>98</v>
      </c>
      <c r="H6" s="169">
        <v>92</v>
      </c>
      <c r="I6" s="85">
        <v>113</v>
      </c>
      <c r="J6" s="87">
        <f>I6/$I$8</f>
        <v>0.13882063882063883</v>
      </c>
      <c r="L6" s="92" t="s">
        <v>68</v>
      </c>
      <c r="M6" s="200">
        <v>629</v>
      </c>
      <c r="N6" s="198">
        <f t="shared" si="0"/>
        <v>0.43379310344827587</v>
      </c>
      <c r="O6" s="82">
        <v>113</v>
      </c>
      <c r="P6" s="198">
        <f t="shared" si="0"/>
        <v>0.13882063882063883</v>
      </c>
      <c r="Q6" s="82">
        <v>17</v>
      </c>
      <c r="R6" s="199">
        <v>0.15</v>
      </c>
    </row>
    <row r="7" spans="1:18" ht="26.25" customHeight="1" x14ac:dyDescent="0.2">
      <c r="A7" s="54" t="s">
        <v>27</v>
      </c>
      <c r="B7" s="85">
        <v>60</v>
      </c>
      <c r="C7" s="85">
        <v>48</v>
      </c>
      <c r="D7" s="85">
        <v>63</v>
      </c>
      <c r="E7" s="86">
        <v>60</v>
      </c>
      <c r="F7" s="86">
        <v>48</v>
      </c>
      <c r="G7" s="86">
        <v>70</v>
      </c>
      <c r="H7" s="169">
        <v>65</v>
      </c>
      <c r="I7" s="85">
        <v>97</v>
      </c>
      <c r="J7" s="87">
        <f>I7/$I$8</f>
        <v>0.11916461916461916</v>
      </c>
      <c r="L7" s="360" t="s">
        <v>27</v>
      </c>
      <c r="M7" s="361">
        <v>119</v>
      </c>
      <c r="N7" s="362">
        <f t="shared" si="0"/>
        <v>8.2068965517241382E-2</v>
      </c>
      <c r="O7" s="361">
        <v>97</v>
      </c>
      <c r="P7" s="362">
        <f t="shared" si="0"/>
        <v>0.11916461916461916</v>
      </c>
      <c r="Q7" s="361">
        <v>67</v>
      </c>
      <c r="R7" s="361">
        <v>0.69</v>
      </c>
    </row>
    <row r="8" spans="1:18" x14ac:dyDescent="0.2">
      <c r="A8" s="366" t="s">
        <v>15</v>
      </c>
      <c r="B8" s="367">
        <f t="shared" ref="B8:G8" si="1">SUM(B4:B7)</f>
        <v>724</v>
      </c>
      <c r="C8" s="367">
        <f t="shared" si="1"/>
        <v>693</v>
      </c>
      <c r="D8" s="367">
        <f t="shared" si="1"/>
        <v>741</v>
      </c>
      <c r="E8" s="367">
        <f t="shared" si="1"/>
        <v>784</v>
      </c>
      <c r="F8" s="367">
        <f t="shared" si="1"/>
        <v>793</v>
      </c>
      <c r="G8" s="367">
        <f t="shared" si="1"/>
        <v>850</v>
      </c>
      <c r="H8" s="368">
        <f>SUM(H4:H7)</f>
        <v>872</v>
      </c>
      <c r="I8" s="369">
        <f>SUM(I4:I7)</f>
        <v>814</v>
      </c>
      <c r="J8" s="370">
        <f t="shared" ref="J8" si="2">I8/$I$8</f>
        <v>1</v>
      </c>
      <c r="L8" s="363" t="s">
        <v>15</v>
      </c>
      <c r="M8" s="364">
        <f>SUM(M4:M7)</f>
        <v>1450</v>
      </c>
      <c r="N8" s="365">
        <f t="shared" si="0"/>
        <v>1</v>
      </c>
      <c r="O8" s="364">
        <f>SUM(O4:O7)</f>
        <v>814</v>
      </c>
      <c r="P8" s="365">
        <f t="shared" si="0"/>
        <v>1</v>
      </c>
      <c r="Q8" s="364">
        <f>SUM(Q4:Q7)</f>
        <v>456</v>
      </c>
      <c r="R8" s="364">
        <v>0.56000000000000005</v>
      </c>
    </row>
    <row r="9" spans="1:18" x14ac:dyDescent="0.2">
      <c r="A9" s="137" t="s">
        <v>123</v>
      </c>
      <c r="B9" s="67"/>
      <c r="C9" s="67"/>
      <c r="D9" s="67"/>
      <c r="E9" s="67"/>
      <c r="F9" s="67"/>
      <c r="G9" s="67"/>
      <c r="H9" s="67"/>
      <c r="I9" s="67"/>
      <c r="J9" s="68"/>
      <c r="L9" s="498" t="s">
        <v>158</v>
      </c>
      <c r="M9" s="498"/>
      <c r="N9" s="498"/>
      <c r="O9" s="70"/>
      <c r="P9" s="69"/>
      <c r="Q9" s="70"/>
      <c r="R9" s="71"/>
    </row>
    <row r="10" spans="1:18" ht="15" customHeight="1" x14ac:dyDescent="0.2">
      <c r="A10" s="497" t="s">
        <v>103</v>
      </c>
      <c r="B10" s="497"/>
      <c r="C10" s="497"/>
      <c r="L10" s="17" t="s">
        <v>157</v>
      </c>
    </row>
    <row r="11" spans="1:18" ht="23.25" customHeight="1" x14ac:dyDescent="0.2">
      <c r="A11" s="476" t="s">
        <v>81</v>
      </c>
      <c r="B11" s="477"/>
      <c r="C11" s="477"/>
      <c r="D11" s="478"/>
      <c r="E11" s="36">
        <v>2015</v>
      </c>
      <c r="F11" s="36">
        <v>2016</v>
      </c>
      <c r="G11" s="36">
        <v>2017</v>
      </c>
      <c r="H11" s="36">
        <v>2018</v>
      </c>
      <c r="I11" s="36">
        <v>2019</v>
      </c>
      <c r="J11" s="53" t="s">
        <v>138</v>
      </c>
      <c r="L11" s="137" t="s">
        <v>123</v>
      </c>
      <c r="M11" s="138"/>
    </row>
    <row r="12" spans="1:18" x14ac:dyDescent="0.2">
      <c r="A12" s="479" t="s">
        <v>21</v>
      </c>
      <c r="B12" s="480"/>
      <c r="C12" s="480"/>
      <c r="D12" s="481"/>
      <c r="E12" s="38">
        <v>217</v>
      </c>
      <c r="F12" s="38">
        <v>206</v>
      </c>
      <c r="G12" s="38">
        <v>223</v>
      </c>
      <c r="H12" s="38">
        <v>217</v>
      </c>
      <c r="I12" s="42">
        <v>179</v>
      </c>
      <c r="J12" s="55">
        <f>I12/I$8</f>
        <v>0.21990171990171989</v>
      </c>
    </row>
    <row r="13" spans="1:18" x14ac:dyDescent="0.2">
      <c r="A13" s="479" t="s">
        <v>22</v>
      </c>
      <c r="B13" s="480"/>
      <c r="C13" s="480"/>
      <c r="D13" s="481"/>
      <c r="E13" s="38">
        <v>185</v>
      </c>
      <c r="F13" s="38">
        <v>200</v>
      </c>
      <c r="G13" s="38">
        <v>189</v>
      </c>
      <c r="H13" s="38">
        <v>216</v>
      </c>
      <c r="I13" s="42">
        <v>172</v>
      </c>
      <c r="J13" s="55">
        <f>I13/I$8</f>
        <v>0.2113022113022113</v>
      </c>
    </row>
    <row r="14" spans="1:18" x14ac:dyDescent="0.2">
      <c r="A14" s="479" t="s">
        <v>23</v>
      </c>
      <c r="B14" s="480"/>
      <c r="C14" s="480"/>
      <c r="D14" s="481"/>
      <c r="E14" s="38">
        <v>50</v>
      </c>
      <c r="F14" s="38">
        <v>50</v>
      </c>
      <c r="G14" s="38">
        <v>49</v>
      </c>
      <c r="H14" s="38">
        <v>54</v>
      </c>
      <c r="I14" s="42">
        <v>59</v>
      </c>
      <c r="J14" s="55">
        <f>I14/I$8</f>
        <v>7.2481572481572484E-2</v>
      </c>
    </row>
    <row r="15" spans="1:18" x14ac:dyDescent="0.2">
      <c r="A15" s="479" t="s">
        <v>24</v>
      </c>
      <c r="B15" s="480"/>
      <c r="C15" s="480"/>
      <c r="D15" s="481"/>
      <c r="E15" s="38">
        <v>60</v>
      </c>
      <c r="F15" s="38">
        <v>54</v>
      </c>
      <c r="G15" s="38">
        <v>80</v>
      </c>
      <c r="H15" s="38">
        <v>69</v>
      </c>
      <c r="I15" s="42">
        <v>66</v>
      </c>
      <c r="J15" s="55">
        <f>I15/I$8</f>
        <v>8.1081081081081086E-2</v>
      </c>
    </row>
    <row r="16" spans="1:18" x14ac:dyDescent="0.2">
      <c r="A16" s="482" t="s">
        <v>15</v>
      </c>
      <c r="B16" s="483"/>
      <c r="C16" s="483"/>
      <c r="D16" s="484"/>
      <c r="E16" s="39">
        <f>SUM(E12:E15)</f>
        <v>512</v>
      </c>
      <c r="F16" s="39">
        <f>SUM(F12:F15)</f>
        <v>510</v>
      </c>
      <c r="G16" s="39">
        <f>SUM(G12:G15)</f>
        <v>541</v>
      </c>
      <c r="H16" s="39">
        <f>SUM(H12:H15)</f>
        <v>556</v>
      </c>
      <c r="I16" s="371">
        <f>SUM(I12:I15)</f>
        <v>476</v>
      </c>
      <c r="J16" s="359">
        <f>I16/I$8</f>
        <v>0.58476658476658472</v>
      </c>
    </row>
    <row r="17" spans="1:9" ht="12.75" customHeight="1" x14ac:dyDescent="0.2">
      <c r="A17" s="137" t="s">
        <v>123</v>
      </c>
    </row>
    <row r="18" spans="1:9" ht="12.75" customHeight="1" x14ac:dyDescent="0.2">
      <c r="A18" s="137"/>
    </row>
    <row r="19" spans="1:9" ht="12.75" customHeight="1" x14ac:dyDescent="0.2">
      <c r="A19" s="93" t="s">
        <v>96</v>
      </c>
      <c r="B19" s="94"/>
      <c r="C19" s="94"/>
      <c r="D19" s="83"/>
      <c r="E19" s="83"/>
      <c r="F19" s="83"/>
      <c r="G19" s="83"/>
      <c r="H19" s="83"/>
      <c r="I19" s="83"/>
    </row>
    <row r="20" spans="1:9" ht="21" customHeight="1" x14ac:dyDescent="0.2">
      <c r="A20" s="473" t="s">
        <v>81</v>
      </c>
      <c r="B20" s="474"/>
      <c r="C20" s="474"/>
      <c r="D20" s="475"/>
      <c r="E20" s="36">
        <v>2015</v>
      </c>
      <c r="F20" s="36">
        <v>2016</v>
      </c>
      <c r="G20" s="36">
        <v>2017</v>
      </c>
      <c r="H20" s="36">
        <v>2018</v>
      </c>
      <c r="I20" s="36">
        <v>2019</v>
      </c>
    </row>
    <row r="21" spans="1:9" x14ac:dyDescent="0.2">
      <c r="A21" s="485" t="s">
        <v>20</v>
      </c>
      <c r="B21" s="485"/>
      <c r="C21" s="485"/>
      <c r="D21" s="485"/>
      <c r="E21" s="38">
        <v>380</v>
      </c>
      <c r="F21" s="38">
        <v>362</v>
      </c>
      <c r="G21" s="38">
        <v>407</v>
      </c>
      <c r="H21" s="169">
        <v>397</v>
      </c>
      <c r="I21" s="82">
        <f t="shared" ref="I21:I25" si="3">Q4</f>
        <v>329</v>
      </c>
    </row>
    <row r="22" spans="1:9" x14ac:dyDescent="0.2">
      <c r="A22" s="485" t="s">
        <v>26</v>
      </c>
      <c r="B22" s="485"/>
      <c r="C22" s="485"/>
      <c r="D22" s="485"/>
      <c r="E22" s="38">
        <v>43</v>
      </c>
      <c r="F22" s="38">
        <v>68</v>
      </c>
      <c r="G22" s="38">
        <v>74</v>
      </c>
      <c r="H22" s="169">
        <v>77</v>
      </c>
      <c r="I22" s="82">
        <f t="shared" si="3"/>
        <v>43</v>
      </c>
    </row>
    <row r="23" spans="1:9" ht="13.5" customHeight="1" x14ac:dyDescent="0.2">
      <c r="A23" s="487" t="s">
        <v>68</v>
      </c>
      <c r="B23" s="487"/>
      <c r="C23" s="487"/>
      <c r="D23" s="487"/>
      <c r="E23" s="38">
        <v>12</v>
      </c>
      <c r="F23" s="38">
        <v>14</v>
      </c>
      <c r="G23" s="38">
        <v>9</v>
      </c>
      <c r="H23" s="169">
        <v>9</v>
      </c>
      <c r="I23" s="90">
        <f t="shared" si="3"/>
        <v>17</v>
      </c>
    </row>
    <row r="24" spans="1:9" x14ac:dyDescent="0.2">
      <c r="A24" s="485" t="s">
        <v>27</v>
      </c>
      <c r="B24" s="485"/>
      <c r="C24" s="485"/>
      <c r="D24" s="485"/>
      <c r="E24" s="38">
        <v>47</v>
      </c>
      <c r="F24" s="38">
        <v>35</v>
      </c>
      <c r="G24" s="38">
        <v>50</v>
      </c>
      <c r="H24" s="169">
        <v>45</v>
      </c>
      <c r="I24" s="82">
        <f t="shared" si="3"/>
        <v>67</v>
      </c>
    </row>
    <row r="25" spans="1:9" x14ac:dyDescent="0.2">
      <c r="A25" s="488" t="s">
        <v>15</v>
      </c>
      <c r="B25" s="488"/>
      <c r="C25" s="488"/>
      <c r="D25" s="488"/>
      <c r="E25" s="39">
        <f>SUM(E21:E24)</f>
        <v>482</v>
      </c>
      <c r="F25" s="39">
        <f t="shared" ref="F25" si="4">SUM(F21:F24)</f>
        <v>479</v>
      </c>
      <c r="G25" s="39">
        <f>SUM(G21:G24)</f>
        <v>540</v>
      </c>
      <c r="H25" s="368">
        <f>SUM(H21:H24)</f>
        <v>528</v>
      </c>
      <c r="I25" s="371">
        <f t="shared" si="3"/>
        <v>456</v>
      </c>
    </row>
    <row r="26" spans="1:9" x14ac:dyDescent="0.2">
      <c r="A26" s="472" t="s">
        <v>104</v>
      </c>
      <c r="B26" s="472"/>
      <c r="C26" s="472"/>
    </row>
    <row r="27" spans="1:9" x14ac:dyDescent="0.2">
      <c r="A27" s="137" t="s">
        <v>123</v>
      </c>
    </row>
    <row r="29" spans="1:9" x14ac:dyDescent="0.2">
      <c r="A29" s="93" t="s">
        <v>109</v>
      </c>
    </row>
    <row r="30" spans="1:9" x14ac:dyDescent="0.2">
      <c r="A30" s="473" t="s">
        <v>81</v>
      </c>
      <c r="B30" s="474"/>
      <c r="C30" s="474"/>
      <c r="D30" s="475"/>
      <c r="E30" s="36">
        <v>2015</v>
      </c>
      <c r="F30" s="36">
        <v>2016</v>
      </c>
      <c r="G30" s="36">
        <v>2017</v>
      </c>
      <c r="H30" s="36">
        <v>2018</v>
      </c>
      <c r="I30" s="36">
        <v>2019</v>
      </c>
    </row>
    <row r="31" spans="1:9" x14ac:dyDescent="0.2">
      <c r="A31" s="485" t="s">
        <v>20</v>
      </c>
      <c r="B31" s="485"/>
      <c r="C31" s="485"/>
      <c r="D31" s="485"/>
      <c r="E31" s="49">
        <f t="shared" ref="E31:H31" si="5">E21/E4</f>
        <v>0.7421875</v>
      </c>
      <c r="F31" s="49">
        <f t="shared" si="5"/>
        <v>0.70980392156862748</v>
      </c>
      <c r="G31" s="49">
        <f t="shared" si="5"/>
        <v>0.75231053604436227</v>
      </c>
      <c r="H31" s="49">
        <f t="shared" si="5"/>
        <v>0.71402877697841727</v>
      </c>
      <c r="I31" s="49">
        <f>I21/I4</f>
        <v>0.69117647058823528</v>
      </c>
    </row>
    <row r="32" spans="1:9" x14ac:dyDescent="0.2">
      <c r="A32" s="485" t="s">
        <v>26</v>
      </c>
      <c r="B32" s="485"/>
      <c r="C32" s="485"/>
      <c r="D32" s="485"/>
      <c r="E32" s="49">
        <f t="shared" ref="E32:H32" si="6">E22/E5</f>
        <v>0.40186915887850466</v>
      </c>
      <c r="F32" s="49">
        <f t="shared" si="6"/>
        <v>0.53543307086614178</v>
      </c>
      <c r="G32" s="49">
        <f t="shared" si="6"/>
        <v>0.52482269503546097</v>
      </c>
      <c r="H32" s="49">
        <f t="shared" si="6"/>
        <v>0.48427672955974843</v>
      </c>
      <c r="I32" s="49">
        <f>I22/I5</f>
        <v>0.3359375</v>
      </c>
    </row>
    <row r="33" spans="1:9" x14ac:dyDescent="0.2">
      <c r="A33" s="487" t="s">
        <v>68</v>
      </c>
      <c r="B33" s="487"/>
      <c r="C33" s="487"/>
      <c r="D33" s="487"/>
      <c r="E33" s="49">
        <f t="shared" ref="E33:H33" si="7">E23/E6</f>
        <v>0.11428571428571428</v>
      </c>
      <c r="F33" s="49">
        <f t="shared" si="7"/>
        <v>0.12962962962962962</v>
      </c>
      <c r="G33" s="49">
        <f t="shared" si="7"/>
        <v>9.1836734693877556E-2</v>
      </c>
      <c r="H33" s="49">
        <f t="shared" si="7"/>
        <v>9.7826086956521743E-2</v>
      </c>
      <c r="I33" s="49">
        <f>I23/I6</f>
        <v>0.15044247787610621</v>
      </c>
    </row>
    <row r="34" spans="1:9" x14ac:dyDescent="0.2">
      <c r="A34" s="485" t="s">
        <v>27</v>
      </c>
      <c r="B34" s="485"/>
      <c r="C34" s="485"/>
      <c r="D34" s="485"/>
      <c r="E34" s="49">
        <f t="shared" ref="E34:H34" si="8">E24/E7</f>
        <v>0.78333333333333333</v>
      </c>
      <c r="F34" s="49">
        <f t="shared" si="8"/>
        <v>0.72916666666666663</v>
      </c>
      <c r="G34" s="49">
        <f t="shared" si="8"/>
        <v>0.7142857142857143</v>
      </c>
      <c r="H34" s="49">
        <f t="shared" si="8"/>
        <v>0.69230769230769229</v>
      </c>
      <c r="I34" s="49">
        <f>I24/I7</f>
        <v>0.69072164948453607</v>
      </c>
    </row>
    <row r="35" spans="1:9" x14ac:dyDescent="0.2">
      <c r="A35" s="488" t="s">
        <v>15</v>
      </c>
      <c r="B35" s="488"/>
      <c r="C35" s="488"/>
      <c r="D35" s="488"/>
      <c r="E35" s="374">
        <f t="shared" ref="E35:H35" si="9">E25/E8</f>
        <v>0.61479591836734693</v>
      </c>
      <c r="F35" s="374">
        <f t="shared" si="9"/>
        <v>0.60403530895334179</v>
      </c>
      <c r="G35" s="374">
        <f t="shared" si="9"/>
        <v>0.63529411764705879</v>
      </c>
      <c r="H35" s="374">
        <f t="shared" si="9"/>
        <v>0.60550458715596334</v>
      </c>
      <c r="I35" s="374">
        <f>I25/I8</f>
        <v>0.56019656019656017</v>
      </c>
    </row>
    <row r="36" spans="1:9" x14ac:dyDescent="0.2">
      <c r="A36" s="17" t="s">
        <v>106</v>
      </c>
    </row>
    <row r="37" spans="1:9" x14ac:dyDescent="0.2">
      <c r="A37" s="137" t="s">
        <v>123</v>
      </c>
    </row>
  </sheetData>
  <mergeCells count="26">
    <mergeCell ref="A35:D35"/>
    <mergeCell ref="A30:D30"/>
    <mergeCell ref="A31:D31"/>
    <mergeCell ref="A32:D32"/>
    <mergeCell ref="A33:D33"/>
    <mergeCell ref="A34:D34"/>
    <mergeCell ref="L1:O1"/>
    <mergeCell ref="A22:D22"/>
    <mergeCell ref="A23:D23"/>
    <mergeCell ref="A24:D24"/>
    <mergeCell ref="A25:D25"/>
    <mergeCell ref="O2:R2"/>
    <mergeCell ref="M2:M3"/>
    <mergeCell ref="L2:L3"/>
    <mergeCell ref="N2:N3"/>
    <mergeCell ref="A10:C10"/>
    <mergeCell ref="L9:N9"/>
    <mergeCell ref="A26:C26"/>
    <mergeCell ref="A20:D20"/>
    <mergeCell ref="A11:D11"/>
    <mergeCell ref="A12:D12"/>
    <mergeCell ref="A13:D13"/>
    <mergeCell ref="A14:D14"/>
    <mergeCell ref="A15:D15"/>
    <mergeCell ref="A16:D16"/>
    <mergeCell ref="A21:D21"/>
  </mergeCells>
  <pageMargins left="0.23622047244094491" right="0" top="0.35433070866141736" bottom="0.35433070866141736" header="0" footer="0.31496062992125984"/>
  <pageSetup paperSize="9" scale="73" orientation="landscape" r:id="rId1"/>
  <ignoredErrors>
    <ignoredError sqref="B8:I8 E16:I16" formulaRange="1"/>
    <ignoredError sqref="J3 J11" numberStoredAsText="1"/>
    <ignoredError sqref="N8:P8" 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E19"/>
  <sheetViews>
    <sheetView showGridLines="0" zoomScaleNormal="100" workbookViewId="0">
      <selection activeCell="D1" sqref="D1"/>
    </sheetView>
  </sheetViews>
  <sheetFormatPr baseColWidth="10" defaultRowHeight="15" x14ac:dyDescent="0.25"/>
  <cols>
    <col min="1" max="1" width="35" style="10" customWidth="1"/>
    <col min="2" max="2" width="7.7109375" style="10" bestFit="1" customWidth="1"/>
    <col min="3" max="3" width="7.42578125" style="10" customWidth="1"/>
    <col min="4" max="16384" width="11.42578125" style="10"/>
  </cols>
  <sheetData>
    <row r="1" spans="1:3" ht="29.25" customHeight="1" x14ac:dyDescent="0.25">
      <c r="A1" s="499" t="s">
        <v>244</v>
      </c>
      <c r="B1" s="499"/>
      <c r="C1" s="499"/>
    </row>
    <row r="2" spans="1:3" ht="17.25" customHeight="1" x14ac:dyDescent="0.25">
      <c r="A2" s="128" t="s">
        <v>111</v>
      </c>
      <c r="B2" s="58" t="s">
        <v>82</v>
      </c>
      <c r="C2" s="48" t="s">
        <v>16</v>
      </c>
    </row>
    <row r="3" spans="1:3" ht="13.5" customHeight="1" x14ac:dyDescent="0.25">
      <c r="A3" s="57" t="s">
        <v>36</v>
      </c>
      <c r="B3" s="85">
        <v>97</v>
      </c>
      <c r="C3" s="87">
        <f t="shared" ref="C3:C16" si="0">B3/B$16</f>
        <v>6.6896551724137929E-2</v>
      </c>
    </row>
    <row r="4" spans="1:3" ht="13.5" customHeight="1" x14ac:dyDescent="0.25">
      <c r="A4" s="57" t="s">
        <v>37</v>
      </c>
      <c r="B4" s="118">
        <v>261</v>
      </c>
      <c r="C4" s="87">
        <f t="shared" si="0"/>
        <v>0.18</v>
      </c>
    </row>
    <row r="5" spans="1:3" ht="13.5" customHeight="1" x14ac:dyDescent="0.25">
      <c r="A5" s="57" t="s">
        <v>38</v>
      </c>
      <c r="B5" s="118">
        <v>92</v>
      </c>
      <c r="C5" s="87">
        <f t="shared" si="0"/>
        <v>6.344827586206897E-2</v>
      </c>
    </row>
    <row r="6" spans="1:3" ht="13.5" customHeight="1" x14ac:dyDescent="0.25">
      <c r="A6" s="57" t="s">
        <v>39</v>
      </c>
      <c r="B6" s="118">
        <v>196</v>
      </c>
      <c r="C6" s="87">
        <f t="shared" si="0"/>
        <v>0.13517241379310344</v>
      </c>
    </row>
    <row r="7" spans="1:3" ht="13.5" customHeight="1" x14ac:dyDescent="0.25">
      <c r="A7" s="57" t="s">
        <v>40</v>
      </c>
      <c r="B7" s="118">
        <v>22</v>
      </c>
      <c r="C7" s="87">
        <f t="shared" si="0"/>
        <v>1.5172413793103448E-2</v>
      </c>
    </row>
    <row r="8" spans="1:3" ht="13.5" customHeight="1" x14ac:dyDescent="0.25">
      <c r="A8" s="57" t="s">
        <v>41</v>
      </c>
      <c r="B8" s="118">
        <v>61</v>
      </c>
      <c r="C8" s="87">
        <f t="shared" si="0"/>
        <v>4.2068965517241382E-2</v>
      </c>
    </row>
    <row r="9" spans="1:3" ht="13.5" customHeight="1" x14ac:dyDescent="0.25">
      <c r="A9" s="57" t="s">
        <v>42</v>
      </c>
      <c r="B9" s="118">
        <v>26</v>
      </c>
      <c r="C9" s="87">
        <f t="shared" si="0"/>
        <v>1.793103448275862E-2</v>
      </c>
    </row>
    <row r="10" spans="1:3" ht="13.5" customHeight="1" x14ac:dyDescent="0.25">
      <c r="A10" s="57" t="s">
        <v>43</v>
      </c>
      <c r="B10" s="118">
        <v>30</v>
      </c>
      <c r="C10" s="87">
        <f t="shared" si="0"/>
        <v>2.0689655172413793E-2</v>
      </c>
    </row>
    <row r="11" spans="1:3" ht="13.5" customHeight="1" x14ac:dyDescent="0.25">
      <c r="A11" s="57" t="s">
        <v>44</v>
      </c>
      <c r="B11" s="118">
        <v>272</v>
      </c>
      <c r="C11" s="87">
        <f t="shared" si="0"/>
        <v>0.18758620689655173</v>
      </c>
    </row>
    <row r="12" spans="1:3" ht="13.5" customHeight="1" x14ac:dyDescent="0.25">
      <c r="A12" s="57" t="s">
        <v>45</v>
      </c>
      <c r="B12" s="118">
        <v>120</v>
      </c>
      <c r="C12" s="87">
        <f t="shared" si="0"/>
        <v>8.2758620689655171E-2</v>
      </c>
    </row>
    <row r="13" spans="1:3" ht="13.5" customHeight="1" x14ac:dyDescent="0.25">
      <c r="A13" s="57" t="s">
        <v>46</v>
      </c>
      <c r="B13" s="118">
        <v>217</v>
      </c>
      <c r="C13" s="87">
        <f t="shared" si="0"/>
        <v>0.14965517241379311</v>
      </c>
    </row>
    <row r="14" spans="1:3" ht="13.5" customHeight="1" x14ac:dyDescent="0.25">
      <c r="A14" s="57" t="s">
        <v>47</v>
      </c>
      <c r="B14" s="118">
        <v>43</v>
      </c>
      <c r="C14" s="87">
        <f t="shared" si="0"/>
        <v>2.9655172413793104E-2</v>
      </c>
    </row>
    <row r="15" spans="1:3" ht="13.5" customHeight="1" thickBot="1" x14ac:dyDescent="0.3">
      <c r="A15" s="98" t="s">
        <v>35</v>
      </c>
      <c r="B15" s="119">
        <v>13</v>
      </c>
      <c r="C15" s="114">
        <f t="shared" si="0"/>
        <v>8.9655172413793099E-3</v>
      </c>
    </row>
    <row r="16" spans="1:3" ht="13.5" customHeight="1" x14ac:dyDescent="0.25">
      <c r="A16" s="95" t="s">
        <v>15</v>
      </c>
      <c r="B16" s="96">
        <f t="shared" ref="B16" si="1">SUM(B3:B15)</f>
        <v>1450</v>
      </c>
      <c r="C16" s="129">
        <f t="shared" si="0"/>
        <v>1</v>
      </c>
    </row>
    <row r="17" spans="1:5" x14ac:dyDescent="0.25">
      <c r="A17" s="137" t="s">
        <v>123</v>
      </c>
    </row>
    <row r="18" spans="1:5" x14ac:dyDescent="0.25">
      <c r="D18" s="117"/>
      <c r="E18" s="117"/>
    </row>
    <row r="19" spans="1:5" ht="36" customHeight="1" x14ac:dyDescent="0.25">
      <c r="D19" s="117"/>
    </row>
  </sheetData>
  <mergeCells count="1">
    <mergeCell ref="A1:C1"/>
  </mergeCells>
  <pageMargins left="0.23622047244094491" right="0" top="0.35433070866141736" bottom="0.35433070866141736" header="0"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K56"/>
  <sheetViews>
    <sheetView showGridLines="0" view="pageBreakPreview" zoomScaleNormal="100" zoomScaleSheetLayoutView="100" workbookViewId="0">
      <selection activeCell="K22" sqref="K22"/>
    </sheetView>
  </sheetViews>
  <sheetFormatPr baseColWidth="10" defaultRowHeight="15" x14ac:dyDescent="0.25"/>
  <cols>
    <col min="1" max="1" width="26.5703125" style="10" customWidth="1"/>
    <col min="2" max="2" width="8.85546875" style="10" customWidth="1"/>
    <col min="3" max="3" width="12.140625" style="10" customWidth="1"/>
    <col min="4" max="4" width="8.85546875" style="10" customWidth="1"/>
    <col min="5" max="5" width="12.140625" style="10" customWidth="1"/>
    <col min="6" max="6" width="8.85546875" style="10" customWidth="1"/>
    <col min="7" max="7" width="12.140625" style="10" customWidth="1"/>
    <col min="8" max="8" width="8.85546875" style="10" customWidth="1"/>
    <col min="9" max="9" width="12.7109375" style="10" customWidth="1"/>
    <col min="10" max="10" width="8.85546875" style="10" customWidth="1"/>
    <col min="11" max="11" width="12.28515625" style="10" customWidth="1"/>
    <col min="12" max="16384" width="11.42578125" style="10"/>
  </cols>
  <sheetData>
    <row r="1" spans="1:11" x14ac:dyDescent="0.25">
      <c r="A1" s="5" t="s">
        <v>119</v>
      </c>
      <c r="B1" s="5"/>
      <c r="C1" s="5"/>
      <c r="D1" s="5"/>
      <c r="E1" s="5"/>
      <c r="F1" s="5"/>
    </row>
    <row r="2" spans="1:11" x14ac:dyDescent="0.25">
      <c r="A2" s="503" t="s">
        <v>111</v>
      </c>
      <c r="B2" s="501">
        <v>2015</v>
      </c>
      <c r="C2" s="502"/>
      <c r="D2" s="501">
        <v>2016</v>
      </c>
      <c r="E2" s="502"/>
      <c r="F2" s="501">
        <v>2017</v>
      </c>
      <c r="G2" s="502"/>
      <c r="H2" s="501">
        <v>2018</v>
      </c>
      <c r="I2" s="502"/>
      <c r="J2" s="501">
        <v>2019</v>
      </c>
      <c r="K2" s="502"/>
    </row>
    <row r="3" spans="1:11" ht="39" customHeight="1" x14ac:dyDescent="0.25">
      <c r="A3" s="504"/>
      <c r="B3" s="58" t="s">
        <v>84</v>
      </c>
      <c r="C3" s="48" t="s">
        <v>97</v>
      </c>
      <c r="D3" s="58" t="s">
        <v>84</v>
      </c>
      <c r="E3" s="48" t="s">
        <v>97</v>
      </c>
      <c r="F3" s="58" t="s">
        <v>84</v>
      </c>
      <c r="G3" s="48" t="s">
        <v>97</v>
      </c>
      <c r="H3" s="58" t="s">
        <v>84</v>
      </c>
      <c r="I3" s="48" t="s">
        <v>97</v>
      </c>
      <c r="J3" s="58" t="s">
        <v>84</v>
      </c>
      <c r="K3" s="48" t="s">
        <v>97</v>
      </c>
    </row>
    <row r="4" spans="1:11" ht="13.5" customHeight="1" x14ac:dyDescent="0.25">
      <c r="A4" s="57" t="s">
        <v>36</v>
      </c>
      <c r="B4" s="118">
        <f>C4</f>
        <v>98</v>
      </c>
      <c r="C4" s="85">
        <v>98</v>
      </c>
      <c r="D4" s="85">
        <v>104</v>
      </c>
      <c r="E4" s="85">
        <v>104</v>
      </c>
      <c r="F4" s="85">
        <v>98</v>
      </c>
      <c r="G4" s="85">
        <v>98</v>
      </c>
      <c r="H4" s="170">
        <v>96</v>
      </c>
      <c r="I4" s="170">
        <v>96</v>
      </c>
      <c r="J4" s="202">
        <v>97</v>
      </c>
      <c r="K4" s="202">
        <v>97</v>
      </c>
    </row>
    <row r="5" spans="1:11" ht="13.5" customHeight="1" x14ac:dyDescent="0.25">
      <c r="A5" s="57" t="s">
        <v>37</v>
      </c>
      <c r="B5" s="118">
        <v>267</v>
      </c>
      <c r="C5" s="85">
        <v>159</v>
      </c>
      <c r="D5" s="118">
        <v>246</v>
      </c>
      <c r="E5" s="85">
        <v>143</v>
      </c>
      <c r="F5" s="118">
        <v>276</v>
      </c>
      <c r="G5" s="85">
        <v>151</v>
      </c>
      <c r="H5" s="170">
        <v>282</v>
      </c>
      <c r="I5" s="170">
        <v>154</v>
      </c>
      <c r="J5" s="202">
        <v>261</v>
      </c>
      <c r="K5" s="202">
        <v>157</v>
      </c>
    </row>
    <row r="6" spans="1:11" ht="13.5" customHeight="1" x14ac:dyDescent="0.25">
      <c r="A6" s="57" t="s">
        <v>38</v>
      </c>
      <c r="B6" s="118">
        <v>84</v>
      </c>
      <c r="C6" s="85">
        <v>82</v>
      </c>
      <c r="D6" s="118">
        <v>55</v>
      </c>
      <c r="E6" s="85">
        <v>49</v>
      </c>
      <c r="F6" s="118">
        <v>56</v>
      </c>
      <c r="G6" s="85">
        <v>47</v>
      </c>
      <c r="H6" s="170">
        <v>81</v>
      </c>
      <c r="I6" s="170">
        <v>73</v>
      </c>
      <c r="J6" s="202">
        <v>92</v>
      </c>
      <c r="K6" s="202">
        <v>88</v>
      </c>
    </row>
    <row r="7" spans="1:11" ht="13.5" customHeight="1" x14ac:dyDescent="0.25">
      <c r="A7" s="57" t="s">
        <v>39</v>
      </c>
      <c r="B7" s="118">
        <v>96</v>
      </c>
      <c r="C7" s="85">
        <v>28</v>
      </c>
      <c r="D7" s="118">
        <v>100</v>
      </c>
      <c r="E7" s="85">
        <v>30</v>
      </c>
      <c r="F7" s="118">
        <v>121</v>
      </c>
      <c r="G7" s="85">
        <v>24</v>
      </c>
      <c r="H7" s="170">
        <v>131</v>
      </c>
      <c r="I7" s="170">
        <v>65</v>
      </c>
      <c r="J7" s="202">
        <v>196</v>
      </c>
      <c r="K7" s="202">
        <v>129</v>
      </c>
    </row>
    <row r="8" spans="1:11" ht="13.5" customHeight="1" x14ac:dyDescent="0.25">
      <c r="A8" s="57" t="s">
        <v>40</v>
      </c>
      <c r="B8" s="118">
        <v>80</v>
      </c>
      <c r="C8" s="85">
        <v>76</v>
      </c>
      <c r="D8" s="118">
        <v>99</v>
      </c>
      <c r="E8" s="85">
        <v>98</v>
      </c>
      <c r="F8" s="118">
        <v>102</v>
      </c>
      <c r="G8" s="85">
        <v>96</v>
      </c>
      <c r="H8" s="170">
        <v>62</v>
      </c>
      <c r="I8" s="170">
        <v>53</v>
      </c>
      <c r="J8" s="202">
        <v>22</v>
      </c>
      <c r="K8" s="202">
        <v>17</v>
      </c>
    </row>
    <row r="9" spans="1:11" ht="13.5" customHeight="1" x14ac:dyDescent="0.25">
      <c r="A9" s="57" t="s">
        <v>41</v>
      </c>
      <c r="B9" s="118">
        <v>100</v>
      </c>
      <c r="C9" s="85">
        <v>72</v>
      </c>
      <c r="D9" s="118">
        <v>96</v>
      </c>
      <c r="E9" s="85">
        <v>67</v>
      </c>
      <c r="F9" s="118">
        <v>105</v>
      </c>
      <c r="G9" s="85">
        <v>68</v>
      </c>
      <c r="H9" s="170">
        <v>84</v>
      </c>
      <c r="I9" s="170">
        <v>58</v>
      </c>
      <c r="J9" s="202">
        <v>61</v>
      </c>
      <c r="K9" s="202">
        <v>25</v>
      </c>
    </row>
    <row r="10" spans="1:11" ht="13.5" customHeight="1" x14ac:dyDescent="0.25">
      <c r="A10" s="57" t="s">
        <v>42</v>
      </c>
      <c r="B10" s="118">
        <v>53</v>
      </c>
      <c r="C10" s="85">
        <v>45</v>
      </c>
      <c r="D10" s="118">
        <v>53</v>
      </c>
      <c r="E10" s="85">
        <v>39</v>
      </c>
      <c r="F10" s="118">
        <v>39</v>
      </c>
      <c r="G10" s="85">
        <v>30</v>
      </c>
      <c r="H10" s="170">
        <v>38</v>
      </c>
      <c r="I10" s="170">
        <v>25</v>
      </c>
      <c r="J10" s="202">
        <v>26</v>
      </c>
      <c r="K10" s="202">
        <v>19</v>
      </c>
    </row>
    <row r="11" spans="1:11" ht="13.5" customHeight="1" x14ac:dyDescent="0.25">
      <c r="A11" s="57" t="s">
        <v>43</v>
      </c>
      <c r="B11" s="118">
        <v>42</v>
      </c>
      <c r="C11" s="85">
        <v>21</v>
      </c>
      <c r="D11" s="118">
        <v>54</v>
      </c>
      <c r="E11" s="85">
        <v>28</v>
      </c>
      <c r="F11" s="118">
        <v>43</v>
      </c>
      <c r="G11" s="85">
        <v>21</v>
      </c>
      <c r="H11" s="170">
        <v>29</v>
      </c>
      <c r="I11" s="170">
        <v>9</v>
      </c>
      <c r="J11" s="202">
        <v>30</v>
      </c>
      <c r="K11" s="202">
        <v>8</v>
      </c>
    </row>
    <row r="12" spans="1:11" ht="13.5" customHeight="1" x14ac:dyDescent="0.25">
      <c r="A12" s="57" t="s">
        <v>44</v>
      </c>
      <c r="B12" s="118">
        <v>241</v>
      </c>
      <c r="C12" s="85">
        <v>8</v>
      </c>
      <c r="D12" s="118">
        <v>218</v>
      </c>
      <c r="E12" s="85">
        <v>5</v>
      </c>
      <c r="F12" s="118">
        <v>227</v>
      </c>
      <c r="G12" s="85">
        <v>9</v>
      </c>
      <c r="H12" s="170">
        <v>287</v>
      </c>
      <c r="I12" s="170">
        <v>43</v>
      </c>
      <c r="J12" s="202">
        <v>272</v>
      </c>
      <c r="K12" s="202">
        <v>39</v>
      </c>
    </row>
    <row r="13" spans="1:11" ht="13.5" customHeight="1" x14ac:dyDescent="0.25">
      <c r="A13" s="57" t="s">
        <v>45</v>
      </c>
      <c r="B13" s="118">
        <v>105</v>
      </c>
      <c r="C13" s="85">
        <v>15</v>
      </c>
      <c r="D13" s="118">
        <v>104</v>
      </c>
      <c r="E13" s="85">
        <v>19</v>
      </c>
      <c r="F13" s="118">
        <v>105</v>
      </c>
      <c r="G13" s="85">
        <v>19</v>
      </c>
      <c r="H13" s="170">
        <v>127</v>
      </c>
      <c r="I13" s="170">
        <v>28</v>
      </c>
      <c r="J13" s="202">
        <v>120</v>
      </c>
      <c r="K13" s="202">
        <v>28</v>
      </c>
    </row>
    <row r="14" spans="1:11" ht="13.5" customHeight="1" x14ac:dyDescent="0.25">
      <c r="A14" s="57" t="s">
        <v>46</v>
      </c>
      <c r="B14" s="118">
        <v>158</v>
      </c>
      <c r="C14" s="85">
        <v>5</v>
      </c>
      <c r="D14" s="118">
        <v>197</v>
      </c>
      <c r="E14" s="85">
        <v>12</v>
      </c>
      <c r="F14" s="118">
        <v>195</v>
      </c>
      <c r="G14" s="85">
        <v>15</v>
      </c>
      <c r="H14" s="170">
        <v>221</v>
      </c>
      <c r="I14" s="170">
        <v>3</v>
      </c>
      <c r="J14" s="202">
        <v>217</v>
      </c>
      <c r="K14" s="202">
        <v>10</v>
      </c>
    </row>
    <row r="15" spans="1:11" ht="13.5" customHeight="1" x14ac:dyDescent="0.25">
      <c r="A15" s="57" t="s">
        <v>47</v>
      </c>
      <c r="B15" s="118">
        <v>50</v>
      </c>
      <c r="C15" s="85">
        <v>2</v>
      </c>
      <c r="D15" s="118">
        <v>38</v>
      </c>
      <c r="E15" s="85">
        <v>1</v>
      </c>
      <c r="F15" s="118">
        <v>53</v>
      </c>
      <c r="G15" s="85">
        <v>0</v>
      </c>
      <c r="H15" s="170">
        <v>51</v>
      </c>
      <c r="I15" s="170">
        <v>0</v>
      </c>
      <c r="J15" s="202">
        <v>43</v>
      </c>
      <c r="K15" s="202">
        <v>2</v>
      </c>
    </row>
    <row r="16" spans="1:11" ht="13.5" customHeight="1" thickBot="1" x14ac:dyDescent="0.3">
      <c r="A16" s="98" t="s">
        <v>35</v>
      </c>
      <c r="B16" s="119">
        <v>9</v>
      </c>
      <c r="C16" s="113">
        <v>7</v>
      </c>
      <c r="D16" s="119">
        <v>13</v>
      </c>
      <c r="E16" s="113">
        <v>3</v>
      </c>
      <c r="F16" s="119">
        <v>13</v>
      </c>
      <c r="G16" s="113">
        <v>5</v>
      </c>
      <c r="H16" s="201">
        <v>11</v>
      </c>
      <c r="I16" s="201">
        <v>4</v>
      </c>
      <c r="J16" s="203">
        <v>13</v>
      </c>
      <c r="K16" s="203">
        <v>10</v>
      </c>
    </row>
    <row r="17" spans="1:11" ht="13.5" customHeight="1" x14ac:dyDescent="0.25">
      <c r="A17" s="95" t="s">
        <v>15</v>
      </c>
      <c r="B17" s="96">
        <f t="shared" ref="B17:F17" si="0">SUM(B4:B16)</f>
        <v>1383</v>
      </c>
      <c r="C17" s="97">
        <f>SUM(C4:C16)</f>
        <v>618</v>
      </c>
      <c r="D17" s="96">
        <f t="shared" si="0"/>
        <v>1377</v>
      </c>
      <c r="E17" s="97">
        <f>SUM(E4:E16)</f>
        <v>598</v>
      </c>
      <c r="F17" s="96">
        <f t="shared" si="0"/>
        <v>1433</v>
      </c>
      <c r="G17" s="97">
        <f>SUM(G4:G16)</f>
        <v>583</v>
      </c>
      <c r="H17" s="372">
        <v>1500</v>
      </c>
      <c r="I17" s="372">
        <v>611</v>
      </c>
      <c r="J17" s="373">
        <f>SUM(J4:J16)</f>
        <v>1450</v>
      </c>
      <c r="K17" s="373">
        <f>SUM(K4:K16)</f>
        <v>629</v>
      </c>
    </row>
    <row r="18" spans="1:11" s="1" customFormat="1" ht="24" x14ac:dyDescent="0.2">
      <c r="A18" s="120" t="s">
        <v>135</v>
      </c>
      <c r="B18" s="500">
        <f>C17/B17</f>
        <v>0.44685466377440347</v>
      </c>
      <c r="C18" s="500"/>
      <c r="D18" s="500">
        <f>E17/D17</f>
        <v>0.43427741466957154</v>
      </c>
      <c r="E18" s="500"/>
      <c r="F18" s="500">
        <f>G17/F17</f>
        <v>0.40683879972086534</v>
      </c>
      <c r="G18" s="500"/>
      <c r="H18" s="500">
        <f>I17/H17</f>
        <v>0.40733333333333333</v>
      </c>
      <c r="I18" s="500"/>
      <c r="J18" s="500">
        <f>K17/J17</f>
        <v>0.43379310344827587</v>
      </c>
      <c r="K18" s="500"/>
    </row>
    <row r="19" spans="1:11" x14ac:dyDescent="0.25">
      <c r="A19" s="137" t="s">
        <v>123</v>
      </c>
    </row>
    <row r="20" spans="1:11" x14ac:dyDescent="0.25">
      <c r="I20" s="117"/>
      <c r="J20" s="117"/>
    </row>
    <row r="21" spans="1:11" ht="36" customHeight="1" x14ac:dyDescent="0.25">
      <c r="H21" s="117"/>
    </row>
    <row r="40" spans="1:8" x14ac:dyDescent="0.25">
      <c r="A40" s="5" t="s">
        <v>119</v>
      </c>
      <c r="F40" s="314" t="s">
        <v>178</v>
      </c>
      <c r="G40" s="348"/>
      <c r="H40" s="348"/>
    </row>
    <row r="41" spans="1:8" x14ac:dyDescent="0.25">
      <c r="A41" s="297" t="s">
        <v>111</v>
      </c>
      <c r="B41" s="312">
        <v>2015</v>
      </c>
      <c r="C41" s="312">
        <v>2016</v>
      </c>
      <c r="D41" s="312">
        <v>2017</v>
      </c>
      <c r="E41" s="312">
        <v>2018</v>
      </c>
      <c r="F41" s="347">
        <v>2019</v>
      </c>
    </row>
    <row r="42" spans="1:8" ht="13.5" customHeight="1" x14ac:dyDescent="0.25">
      <c r="A42" s="57" t="s">
        <v>36</v>
      </c>
      <c r="B42" s="310">
        <f t="shared" ref="B42:B55" si="1">B4/B$17*100</f>
        <v>7.0860448300795369</v>
      </c>
      <c r="C42" s="310">
        <f t="shared" ref="C42:C55" si="2">D4/D$17*100</f>
        <v>7.5526506899055921</v>
      </c>
      <c r="D42" s="310">
        <f t="shared" ref="D42:D55" si="3">F4/F$17*100</f>
        <v>6.8387997208653166</v>
      </c>
      <c r="E42" s="310">
        <f t="shared" ref="E42:E55" si="4">H4/H$17*100</f>
        <v>6.4</v>
      </c>
      <c r="F42" s="310">
        <f t="shared" ref="F42:F55" si="5">J4/J$17*100</f>
        <v>6.6896551724137927</v>
      </c>
      <c r="G42" s="313"/>
      <c r="H42" s="313"/>
    </row>
    <row r="43" spans="1:8" ht="13.5" customHeight="1" x14ac:dyDescent="0.25">
      <c r="A43" s="57" t="s">
        <v>37</v>
      </c>
      <c r="B43" s="310">
        <f t="shared" si="1"/>
        <v>19.305856832971802</v>
      </c>
      <c r="C43" s="310">
        <f t="shared" si="2"/>
        <v>17.864923747276691</v>
      </c>
      <c r="D43" s="310">
        <f t="shared" si="3"/>
        <v>19.260293091416607</v>
      </c>
      <c r="E43" s="310">
        <f t="shared" si="4"/>
        <v>18.8</v>
      </c>
      <c r="F43" s="310">
        <f t="shared" si="5"/>
        <v>18</v>
      </c>
      <c r="G43" s="313"/>
      <c r="H43" s="313"/>
    </row>
    <row r="44" spans="1:8" ht="13.5" customHeight="1" x14ac:dyDescent="0.25">
      <c r="A44" s="57" t="s">
        <v>38</v>
      </c>
      <c r="B44" s="310">
        <f t="shared" si="1"/>
        <v>6.0737527114967458</v>
      </c>
      <c r="C44" s="310">
        <f t="shared" si="2"/>
        <v>3.994190268700073</v>
      </c>
      <c r="D44" s="310">
        <f t="shared" si="3"/>
        <v>3.9078855547801812</v>
      </c>
      <c r="E44" s="310">
        <f t="shared" si="4"/>
        <v>5.4</v>
      </c>
      <c r="F44" s="310">
        <f t="shared" si="5"/>
        <v>6.3448275862068968</v>
      </c>
      <c r="G44" s="313"/>
      <c r="H44" s="313"/>
    </row>
    <row r="45" spans="1:8" ht="13.5" customHeight="1" x14ac:dyDescent="0.25">
      <c r="A45" s="57" t="s">
        <v>39</v>
      </c>
      <c r="B45" s="310">
        <f t="shared" si="1"/>
        <v>6.9414316702819958</v>
      </c>
      <c r="C45" s="310">
        <f t="shared" si="2"/>
        <v>7.2621641249092237</v>
      </c>
      <c r="D45" s="310">
        <f t="shared" si="3"/>
        <v>8.4438241451500353</v>
      </c>
      <c r="E45" s="310">
        <f t="shared" si="4"/>
        <v>8.7333333333333325</v>
      </c>
      <c r="F45" s="310">
        <f t="shared" si="5"/>
        <v>13.517241379310343</v>
      </c>
      <c r="G45" s="313"/>
      <c r="H45" s="313"/>
    </row>
    <row r="46" spans="1:8" ht="13.5" customHeight="1" x14ac:dyDescent="0.25">
      <c r="A46" s="57" t="s">
        <v>40</v>
      </c>
      <c r="B46" s="310">
        <f t="shared" si="1"/>
        <v>5.7845263919016627</v>
      </c>
      <c r="C46" s="310">
        <f t="shared" si="2"/>
        <v>7.18954248366013</v>
      </c>
      <c r="D46" s="310">
        <f t="shared" si="3"/>
        <v>7.1179344033496159</v>
      </c>
      <c r="E46" s="310">
        <f t="shared" si="4"/>
        <v>4.1333333333333329</v>
      </c>
      <c r="F46" s="310">
        <f t="shared" si="5"/>
        <v>1.5172413793103448</v>
      </c>
      <c r="G46" s="313"/>
      <c r="H46" s="313"/>
    </row>
    <row r="47" spans="1:8" ht="13.5" customHeight="1" x14ac:dyDescent="0.25">
      <c r="A47" s="57" t="s">
        <v>41</v>
      </c>
      <c r="B47" s="310">
        <f t="shared" si="1"/>
        <v>7.2306579898770789</v>
      </c>
      <c r="C47" s="310">
        <f t="shared" si="2"/>
        <v>6.9716775599128544</v>
      </c>
      <c r="D47" s="310">
        <f t="shared" si="3"/>
        <v>7.3272854152128408</v>
      </c>
      <c r="E47" s="310">
        <f t="shared" si="4"/>
        <v>5.6000000000000005</v>
      </c>
      <c r="F47" s="310">
        <f t="shared" si="5"/>
        <v>4.2068965517241379</v>
      </c>
      <c r="G47" s="313"/>
      <c r="H47" s="313"/>
    </row>
    <row r="48" spans="1:8" ht="13.5" customHeight="1" x14ac:dyDescent="0.25">
      <c r="A48" s="57" t="s">
        <v>42</v>
      </c>
      <c r="B48" s="310">
        <f t="shared" si="1"/>
        <v>3.8322487346348515</v>
      </c>
      <c r="C48" s="310">
        <f t="shared" si="2"/>
        <v>3.8489469862018879</v>
      </c>
      <c r="D48" s="310">
        <f t="shared" si="3"/>
        <v>2.7215631542219123</v>
      </c>
      <c r="E48" s="310">
        <f t="shared" si="4"/>
        <v>2.5333333333333332</v>
      </c>
      <c r="F48" s="310">
        <f t="shared" si="5"/>
        <v>1.7931034482758619</v>
      </c>
      <c r="G48" s="313"/>
      <c r="H48" s="313"/>
    </row>
    <row r="49" spans="1:8" ht="13.5" customHeight="1" x14ac:dyDescent="0.25">
      <c r="A49" s="57" t="s">
        <v>43</v>
      </c>
      <c r="B49" s="310">
        <f t="shared" si="1"/>
        <v>3.0368763557483729</v>
      </c>
      <c r="C49" s="310">
        <f t="shared" si="2"/>
        <v>3.9215686274509802</v>
      </c>
      <c r="D49" s="310">
        <f t="shared" si="3"/>
        <v>3.0006978367062107</v>
      </c>
      <c r="E49" s="310">
        <f t="shared" si="4"/>
        <v>1.9333333333333333</v>
      </c>
      <c r="F49" s="310">
        <f t="shared" si="5"/>
        <v>2.0689655172413794</v>
      </c>
      <c r="G49" s="313"/>
      <c r="H49" s="313"/>
    </row>
    <row r="50" spans="1:8" ht="13.5" customHeight="1" x14ac:dyDescent="0.25">
      <c r="A50" s="57" t="s">
        <v>44</v>
      </c>
      <c r="B50" s="310">
        <f t="shared" si="1"/>
        <v>17.425885755603758</v>
      </c>
      <c r="C50" s="310">
        <f t="shared" si="2"/>
        <v>15.831517792302105</v>
      </c>
      <c r="D50" s="310">
        <f t="shared" si="3"/>
        <v>15.84089323098395</v>
      </c>
      <c r="E50" s="310">
        <f t="shared" si="4"/>
        <v>19.133333333333333</v>
      </c>
      <c r="F50" s="310">
        <f t="shared" si="5"/>
        <v>18.758620689655174</v>
      </c>
      <c r="G50" s="313"/>
      <c r="H50" s="313"/>
    </row>
    <row r="51" spans="1:8" ht="13.5" customHeight="1" x14ac:dyDescent="0.25">
      <c r="A51" s="57" t="s">
        <v>45</v>
      </c>
      <c r="B51" s="310">
        <f t="shared" si="1"/>
        <v>7.5921908893709329</v>
      </c>
      <c r="C51" s="310">
        <f t="shared" si="2"/>
        <v>7.5526506899055921</v>
      </c>
      <c r="D51" s="310">
        <f t="shared" si="3"/>
        <v>7.3272854152128408</v>
      </c>
      <c r="E51" s="310">
        <f t="shared" si="4"/>
        <v>8.4666666666666668</v>
      </c>
      <c r="F51" s="310">
        <f t="shared" si="5"/>
        <v>8.2758620689655178</v>
      </c>
      <c r="G51" s="313"/>
      <c r="H51" s="313"/>
    </row>
    <row r="52" spans="1:8" ht="13.5" customHeight="1" x14ac:dyDescent="0.25">
      <c r="A52" s="57" t="s">
        <v>46</v>
      </c>
      <c r="B52" s="310">
        <f t="shared" si="1"/>
        <v>11.424439624005785</v>
      </c>
      <c r="C52" s="310">
        <f t="shared" si="2"/>
        <v>14.306463326071169</v>
      </c>
      <c r="D52" s="310">
        <f t="shared" si="3"/>
        <v>13.607815771109561</v>
      </c>
      <c r="E52" s="310">
        <f t="shared" si="4"/>
        <v>14.733333333333334</v>
      </c>
      <c r="F52" s="310">
        <f t="shared" si="5"/>
        <v>14.965517241379311</v>
      </c>
      <c r="G52" s="313"/>
      <c r="H52" s="313"/>
    </row>
    <row r="53" spans="1:8" ht="13.5" customHeight="1" x14ac:dyDescent="0.25">
      <c r="A53" s="57" t="s">
        <v>47</v>
      </c>
      <c r="B53" s="310">
        <f t="shared" si="1"/>
        <v>3.6153289949385394</v>
      </c>
      <c r="C53" s="310">
        <f t="shared" si="2"/>
        <v>2.7596223674655045</v>
      </c>
      <c r="D53" s="310">
        <f t="shared" si="3"/>
        <v>3.6985345429169576</v>
      </c>
      <c r="E53" s="310">
        <f t="shared" si="4"/>
        <v>3.4000000000000004</v>
      </c>
      <c r="F53" s="310">
        <f t="shared" si="5"/>
        <v>2.9655172413793105</v>
      </c>
      <c r="G53" s="313"/>
      <c r="H53" s="313"/>
    </row>
    <row r="54" spans="1:8" ht="13.5" customHeight="1" thickBot="1" x14ac:dyDescent="0.3">
      <c r="A54" s="98" t="s">
        <v>35</v>
      </c>
      <c r="B54" s="310">
        <f t="shared" si="1"/>
        <v>0.65075921908893708</v>
      </c>
      <c r="C54" s="310">
        <f t="shared" si="2"/>
        <v>0.94408133623819901</v>
      </c>
      <c r="D54" s="310">
        <f t="shared" si="3"/>
        <v>0.90718771807397069</v>
      </c>
      <c r="E54" s="310">
        <f t="shared" si="4"/>
        <v>0.73333333333333328</v>
      </c>
      <c r="F54" s="310">
        <f t="shared" si="5"/>
        <v>0.89655172413793094</v>
      </c>
      <c r="G54" s="313"/>
      <c r="H54" s="313"/>
    </row>
    <row r="55" spans="1:8" ht="13.5" customHeight="1" x14ac:dyDescent="0.25">
      <c r="A55" s="95" t="s">
        <v>15</v>
      </c>
      <c r="B55" s="311">
        <f t="shared" si="1"/>
        <v>100</v>
      </c>
      <c r="C55" s="311">
        <f t="shared" si="2"/>
        <v>100</v>
      </c>
      <c r="D55" s="311">
        <f t="shared" si="3"/>
        <v>100</v>
      </c>
      <c r="E55" s="311">
        <f t="shared" si="4"/>
        <v>100</v>
      </c>
      <c r="F55" s="311">
        <f t="shared" si="5"/>
        <v>100</v>
      </c>
      <c r="G55" s="313"/>
      <c r="H55" s="313"/>
    </row>
    <row r="56" spans="1:8" x14ac:dyDescent="0.25">
      <c r="A56" s="137" t="s">
        <v>123</v>
      </c>
      <c r="F56" s="313"/>
      <c r="G56" s="313"/>
      <c r="H56" s="313"/>
    </row>
  </sheetData>
  <mergeCells count="11">
    <mergeCell ref="H2:I2"/>
    <mergeCell ref="J2:K2"/>
    <mergeCell ref="A2:A3"/>
    <mergeCell ref="B2:C2"/>
    <mergeCell ref="D2:E2"/>
    <mergeCell ref="F2:G2"/>
    <mergeCell ref="B18:C18"/>
    <mergeCell ref="D18:E18"/>
    <mergeCell ref="F18:G18"/>
    <mergeCell ref="H18:I18"/>
    <mergeCell ref="J18:K18"/>
  </mergeCells>
  <pageMargins left="0.23622047244094491" right="0" top="0.35433070866141736" bottom="0.35433070866141736" header="0" footer="0.31496062992125984"/>
  <pageSetup paperSize="9" scale="90" fitToHeight="2" orientation="landscape" r:id="rId1"/>
  <rowBreaks count="1" manualBreakCount="1">
    <brk id="39" max="10"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I23"/>
  <sheetViews>
    <sheetView showGridLines="0" zoomScaleNormal="100" workbookViewId="0">
      <selection activeCell="A2" sqref="A2:A3"/>
    </sheetView>
  </sheetViews>
  <sheetFormatPr baseColWidth="10" defaultRowHeight="12.75" x14ac:dyDescent="0.2"/>
  <cols>
    <col min="1" max="1" width="20.85546875" style="1" customWidth="1"/>
    <col min="2" max="3" width="7.85546875" style="1" customWidth="1"/>
    <col min="4" max="4" width="7.7109375" style="1" bestFit="1" customWidth="1"/>
    <col min="5" max="5" width="7" style="1" bestFit="1" customWidth="1"/>
    <col min="6" max="6" width="7.42578125" style="1" customWidth="1"/>
    <col min="7" max="16384" width="11.42578125" style="1"/>
  </cols>
  <sheetData>
    <row r="1" spans="1:8" x14ac:dyDescent="0.2">
      <c r="A1" s="156" t="s">
        <v>258</v>
      </c>
      <c r="B1" s="156"/>
      <c r="C1" s="156"/>
    </row>
    <row r="2" spans="1:8" ht="27" customHeight="1" x14ac:dyDescent="0.2">
      <c r="A2" s="493" t="s">
        <v>85</v>
      </c>
      <c r="B2" s="505">
        <v>2013</v>
      </c>
      <c r="C2" s="506"/>
      <c r="D2" s="505">
        <v>2019</v>
      </c>
      <c r="E2" s="506"/>
      <c r="F2" s="444" t="s">
        <v>139</v>
      </c>
      <c r="H2" s="18"/>
    </row>
    <row r="3" spans="1:8" ht="15" customHeight="1" x14ac:dyDescent="0.2">
      <c r="A3" s="494"/>
      <c r="B3" s="58" t="s">
        <v>82</v>
      </c>
      <c r="C3" s="58" t="s">
        <v>16</v>
      </c>
      <c r="D3" s="58" t="s">
        <v>82</v>
      </c>
      <c r="E3" s="58" t="s">
        <v>16</v>
      </c>
      <c r="F3" s="492"/>
      <c r="H3" s="19"/>
    </row>
    <row r="4" spans="1:8" x14ac:dyDescent="0.2">
      <c r="A4" s="72" t="s">
        <v>0</v>
      </c>
      <c r="B4" s="38">
        <v>28</v>
      </c>
      <c r="C4" s="205">
        <f t="shared" ref="C4:C14" si="0">B4/$B$14</f>
        <v>2.2635408245755859E-2</v>
      </c>
      <c r="D4" s="73">
        <v>32</v>
      </c>
      <c r="E4" s="171">
        <f t="shared" ref="E4:E14" si="1">D4/$D$14</f>
        <v>2.2068965517241378E-2</v>
      </c>
      <c r="F4" s="220">
        <f t="shared" ref="F4:F14" si="2">E4-C4</f>
        <v>-5.6644272851448171E-4</v>
      </c>
      <c r="H4" s="19"/>
    </row>
    <row r="5" spans="1:8" x14ac:dyDescent="0.2">
      <c r="A5" s="72" t="s">
        <v>7</v>
      </c>
      <c r="B5" s="38">
        <v>6</v>
      </c>
      <c r="C5" s="205">
        <f t="shared" si="0"/>
        <v>4.850444624090542E-3</v>
      </c>
      <c r="D5" s="73">
        <v>5</v>
      </c>
      <c r="E5" s="171">
        <f t="shared" si="1"/>
        <v>3.4482758620689655E-3</v>
      </c>
      <c r="F5" s="220">
        <f t="shared" si="2"/>
        <v>-1.4021687620215766E-3</v>
      </c>
      <c r="H5" s="19"/>
    </row>
    <row r="6" spans="1:8" x14ac:dyDescent="0.2">
      <c r="A6" s="72" t="s">
        <v>5</v>
      </c>
      <c r="B6" s="38">
        <v>29</v>
      </c>
      <c r="C6" s="205">
        <f t="shared" si="0"/>
        <v>2.3443815683104285E-2</v>
      </c>
      <c r="D6" s="73">
        <v>55</v>
      </c>
      <c r="E6" s="171">
        <f t="shared" si="1"/>
        <v>3.793103448275862E-2</v>
      </c>
      <c r="F6" s="220">
        <f t="shared" si="2"/>
        <v>1.4487218799654335E-2</v>
      </c>
      <c r="H6" s="19"/>
    </row>
    <row r="7" spans="1:8" x14ac:dyDescent="0.2">
      <c r="A7" s="72" t="s">
        <v>1</v>
      </c>
      <c r="B7" s="38">
        <v>34</v>
      </c>
      <c r="C7" s="205">
        <f t="shared" si="0"/>
        <v>2.7485852869846401E-2</v>
      </c>
      <c r="D7" s="73">
        <v>54</v>
      </c>
      <c r="E7" s="171">
        <f t="shared" si="1"/>
        <v>3.7241379310344824E-2</v>
      </c>
      <c r="F7" s="220">
        <f t="shared" si="2"/>
        <v>9.7555264404984229E-3</v>
      </c>
      <c r="H7" s="19"/>
    </row>
    <row r="8" spans="1:8" x14ac:dyDescent="0.2">
      <c r="A8" s="72" t="s">
        <v>31</v>
      </c>
      <c r="B8" s="38">
        <v>933</v>
      </c>
      <c r="C8" s="205">
        <f t="shared" si="0"/>
        <v>0.75424413904607923</v>
      </c>
      <c r="D8" s="73">
        <v>1096</v>
      </c>
      <c r="E8" s="171">
        <f t="shared" si="1"/>
        <v>0.75586206896551722</v>
      </c>
      <c r="F8" s="220">
        <f t="shared" si="2"/>
        <v>1.6179299194379881E-3</v>
      </c>
      <c r="H8" s="19"/>
    </row>
    <row r="9" spans="1:8" x14ac:dyDescent="0.2">
      <c r="A9" s="72" t="s">
        <v>73</v>
      </c>
      <c r="B9" s="38">
        <v>81</v>
      </c>
      <c r="C9" s="205">
        <f t="shared" si="0"/>
        <v>6.5481002425222312E-2</v>
      </c>
      <c r="D9" s="73">
        <v>52</v>
      </c>
      <c r="E9" s="171">
        <f t="shared" si="1"/>
        <v>3.5862068965517239E-2</v>
      </c>
      <c r="F9" s="220">
        <f t="shared" si="2"/>
        <v>-2.9618933459705073E-2</v>
      </c>
      <c r="H9" s="19"/>
    </row>
    <row r="10" spans="1:8" x14ac:dyDescent="0.2">
      <c r="A10" s="72" t="s">
        <v>6</v>
      </c>
      <c r="B10" s="38">
        <v>14</v>
      </c>
      <c r="C10" s="205">
        <f t="shared" si="0"/>
        <v>1.131770412287793E-2</v>
      </c>
      <c r="D10" s="73">
        <v>14</v>
      </c>
      <c r="E10" s="171">
        <f t="shared" si="1"/>
        <v>9.655172413793104E-3</v>
      </c>
      <c r="F10" s="220">
        <f t="shared" si="2"/>
        <v>-1.6625317090848257E-3</v>
      </c>
      <c r="H10" s="19"/>
    </row>
    <row r="11" spans="1:8" x14ac:dyDescent="0.2">
      <c r="A11" s="72" t="s">
        <v>3</v>
      </c>
      <c r="B11" s="38">
        <v>85</v>
      </c>
      <c r="C11" s="205">
        <f t="shared" si="0"/>
        <v>6.8714632174616E-2</v>
      </c>
      <c r="D11" s="73">
        <v>102</v>
      </c>
      <c r="E11" s="171">
        <f t="shared" si="1"/>
        <v>7.0344827586206901E-2</v>
      </c>
      <c r="F11" s="220">
        <f t="shared" si="2"/>
        <v>1.6301954115909012E-3</v>
      </c>
      <c r="H11" s="19"/>
    </row>
    <row r="12" spans="1:8" ht="11.25" customHeight="1" x14ac:dyDescent="0.2">
      <c r="A12" s="72" t="s">
        <v>2</v>
      </c>
      <c r="B12" s="38">
        <v>26</v>
      </c>
      <c r="C12" s="205">
        <f t="shared" si="0"/>
        <v>2.1018593371059015E-2</v>
      </c>
      <c r="D12" s="73">
        <v>40</v>
      </c>
      <c r="E12" s="171">
        <f t="shared" si="1"/>
        <v>2.7586206896551724E-2</v>
      </c>
      <c r="F12" s="220">
        <f t="shared" si="2"/>
        <v>6.5676135254927083E-3</v>
      </c>
      <c r="H12" s="20"/>
    </row>
    <row r="13" spans="1:8" x14ac:dyDescent="0.2">
      <c r="A13" s="72" t="s">
        <v>25</v>
      </c>
      <c r="B13" s="38">
        <v>1</v>
      </c>
      <c r="C13" s="205">
        <f t="shared" si="0"/>
        <v>8.0840743734842356E-4</v>
      </c>
      <c r="D13" s="76">
        <v>0</v>
      </c>
      <c r="E13" s="171">
        <f t="shared" si="1"/>
        <v>0</v>
      </c>
      <c r="F13" s="220">
        <f t="shared" si="2"/>
        <v>-8.0840743734842356E-4</v>
      </c>
      <c r="H13" s="21"/>
    </row>
    <row r="14" spans="1:8" x14ac:dyDescent="0.2">
      <c r="A14" s="59" t="s">
        <v>15</v>
      </c>
      <c r="B14" s="60">
        <f>SUM(B4:B13)</f>
        <v>1237</v>
      </c>
      <c r="C14" s="61">
        <f t="shared" si="0"/>
        <v>1</v>
      </c>
      <c r="D14" s="59">
        <f>SUM(D4:D13)</f>
        <v>1450</v>
      </c>
      <c r="E14" s="171">
        <f t="shared" si="1"/>
        <v>1</v>
      </c>
      <c r="F14" s="220">
        <f t="shared" si="2"/>
        <v>0</v>
      </c>
      <c r="H14" s="11"/>
    </row>
    <row r="15" spans="1:8" ht="24" x14ac:dyDescent="0.2">
      <c r="A15" s="120" t="s">
        <v>118</v>
      </c>
      <c r="B15" s="500">
        <f>(B14-B8)/B14</f>
        <v>0.24575586095392077</v>
      </c>
      <c r="C15" s="500"/>
      <c r="D15" s="500">
        <f t="shared" ref="D15" si="3">(D14-D8)/D14</f>
        <v>0.24413793103448275</v>
      </c>
      <c r="E15" s="500"/>
    </row>
    <row r="16" spans="1:8" x14ac:dyDescent="0.2">
      <c r="A16" s="137" t="s">
        <v>123</v>
      </c>
    </row>
    <row r="23" spans="9:9" x14ac:dyDescent="0.2">
      <c r="I23" s="204"/>
    </row>
  </sheetData>
  <mergeCells count="6">
    <mergeCell ref="F2:F3"/>
    <mergeCell ref="A2:A3"/>
    <mergeCell ref="B2:C2"/>
    <mergeCell ref="B15:C15"/>
    <mergeCell ref="D2:E2"/>
    <mergeCell ref="D15:E15"/>
  </mergeCells>
  <pageMargins left="0.23622047244094491" right="0" top="0.35433070866141736" bottom="0.35433070866141736" header="0.31496062992125984" footer="0"/>
  <pageSetup paperSize="9" orientation="landscape" r:id="rId1"/>
  <ignoredErrors>
    <ignoredError sqref="C14" formula="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14</vt:i4>
      </vt:variant>
    </vt:vector>
  </HeadingPairs>
  <TitlesOfParts>
    <vt:vector size="28" baseType="lpstr">
      <vt:lpstr>Sommaire</vt:lpstr>
      <vt:lpstr>Evol Cifre</vt:lpstr>
      <vt:lpstr>Domaine sc</vt:lpstr>
      <vt:lpstr>Domaine sc fem</vt:lpstr>
      <vt:lpstr>Cifre Employeur</vt:lpstr>
      <vt:lpstr>Employeur</vt:lpstr>
      <vt:lpstr>Secteur 19</vt:lpstr>
      <vt:lpstr>Secteur</vt:lpstr>
      <vt:lpstr>Origine geo 19</vt:lpstr>
      <vt:lpstr>Origine geo</vt:lpstr>
      <vt:lpstr>Diplômes</vt:lpstr>
      <vt:lpstr>Salaire</vt:lpstr>
      <vt:lpstr>soutenance</vt:lpstr>
      <vt:lpstr>publications</vt:lpstr>
      <vt:lpstr>'Cifre Employeur'!Zone_d_impression</vt:lpstr>
      <vt:lpstr>Diplômes!Zone_d_impression</vt:lpstr>
      <vt:lpstr>'Domaine sc'!Zone_d_impression</vt:lpstr>
      <vt:lpstr>'Domaine sc fem'!Zone_d_impression</vt:lpstr>
      <vt:lpstr>Employeur!Zone_d_impression</vt:lpstr>
      <vt:lpstr>'Evol Cifre'!Zone_d_impression</vt:lpstr>
      <vt:lpstr>'Origine geo'!Zone_d_impression</vt:lpstr>
      <vt:lpstr>'Origine geo 19'!Zone_d_impression</vt:lpstr>
      <vt:lpstr>publications!Zone_d_impression</vt:lpstr>
      <vt:lpstr>Salaire!Zone_d_impression</vt:lpstr>
      <vt:lpstr>Secteur!Zone_d_impression</vt:lpstr>
      <vt:lpstr>'Secteur 19'!Zone_d_impression</vt:lpstr>
      <vt:lpstr>Sommaire!Zone_d_impression</vt:lpstr>
      <vt:lpstr>soutenance!Zone_d_impression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2015-01-09T13:54:16Z</dcterms:created>
  <dcterms:modified xsi:type="dcterms:W3CDTF">2020-09-21T18:04:47Z</dcterms:modified>
</cp:coreProperties>
</file>