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360" yWindow="1560" windowWidth="12885" windowHeight="6060" tabRatio="662"/>
  </bookViews>
  <sheets>
    <sheet name="Sommaire" sheetId="45" r:id="rId1"/>
    <sheet name="Tableau 1" sheetId="12" r:id="rId2"/>
    <sheet name="Tableau 2" sheetId="30" r:id="rId3"/>
    <sheet name="Tableau 3" sheetId="29" r:id="rId4"/>
    <sheet name="Cartes" sheetId="42" r:id="rId5"/>
    <sheet name="Graphique 1" sheetId="49" r:id="rId6"/>
    <sheet name="Graphique 2" sheetId="50" r:id="rId7"/>
    <sheet name="Graphique 3" sheetId="32" r:id="rId8"/>
    <sheet name="Graphique 4" sheetId="36" r:id="rId9"/>
    <sheet name="Graphique 5" sheetId="35" r:id="rId10"/>
    <sheet name="Graphique 6" sheetId="33" r:id="rId11"/>
    <sheet name="Graphique 7" sheetId="34" r:id="rId12"/>
    <sheet name="Annexe 1" sheetId="1" r:id="rId13"/>
    <sheet name="Annexe 2" sheetId="47" r:id="rId14"/>
    <sheet name="Annexe 3" sheetId="48" r:id="rId15"/>
    <sheet name="Annexe 4" sheetId="46" r:id="rId16"/>
  </sheets>
  <definedNames>
    <definedName name="_xlnm.Print_Area" localSheetId="12">'Annexe 1'!#REF!</definedName>
    <definedName name="_xlnm.Print_Area" localSheetId="9">'Graphique 5'!$A$3:$J$21</definedName>
  </definedNames>
  <calcPr calcId="162913"/>
</workbook>
</file>

<file path=xl/calcChain.xml><?xml version="1.0" encoding="utf-8"?>
<calcChain xmlns="http://schemas.openxmlformats.org/spreadsheetml/2006/main">
  <c r="A18" i="45" l="1"/>
  <c r="A15" i="45" l="1"/>
  <c r="A9" i="45"/>
  <c r="A8" i="45"/>
  <c r="A4" i="45"/>
  <c r="L12" i="50" l="1"/>
  <c r="K12" i="50"/>
  <c r="J12" i="50"/>
  <c r="I12" i="50"/>
  <c r="L11" i="50"/>
  <c r="K11" i="50"/>
  <c r="J11" i="50"/>
  <c r="I11" i="50"/>
  <c r="L10" i="50"/>
  <c r="K10" i="50"/>
  <c r="J10" i="50"/>
  <c r="I10" i="50"/>
  <c r="L9" i="50"/>
  <c r="K9" i="50"/>
  <c r="J9" i="50"/>
  <c r="I9" i="50"/>
  <c r="L7" i="50"/>
  <c r="K7" i="50"/>
  <c r="J7" i="50"/>
  <c r="I7" i="50"/>
  <c r="L5" i="50"/>
  <c r="K5" i="50"/>
  <c r="J5" i="50"/>
  <c r="I5" i="50"/>
  <c r="O18" i="1" l="1"/>
  <c r="I4" i="48" l="1"/>
  <c r="I5" i="48"/>
  <c r="I6" i="48"/>
  <c r="I7" i="48"/>
  <c r="I8" i="48"/>
  <c r="I9" i="48"/>
  <c r="B15" i="48"/>
  <c r="C15" i="48"/>
  <c r="D15" i="48"/>
  <c r="E15" i="48"/>
  <c r="F15" i="48"/>
  <c r="G15" i="48"/>
  <c r="H15" i="48"/>
  <c r="L15" i="48"/>
  <c r="B16" i="48"/>
  <c r="C16" i="48"/>
  <c r="D16" i="48"/>
  <c r="E16" i="48"/>
  <c r="F16" i="48"/>
  <c r="G16" i="48"/>
  <c r="H16" i="48"/>
  <c r="L16" i="48"/>
  <c r="B17" i="48"/>
  <c r="C17" i="48"/>
  <c r="D17" i="48"/>
  <c r="E17" i="48"/>
  <c r="F17" i="48"/>
  <c r="G17" i="48"/>
  <c r="H17" i="48"/>
  <c r="L17" i="48"/>
  <c r="B18" i="48"/>
  <c r="C18" i="48"/>
  <c r="D18" i="48"/>
  <c r="E18" i="48"/>
  <c r="F18" i="48"/>
  <c r="G18" i="48"/>
  <c r="H18" i="48"/>
  <c r="L18" i="48"/>
  <c r="B19" i="48"/>
  <c r="C19" i="48"/>
  <c r="D19" i="48"/>
  <c r="E19" i="48"/>
  <c r="F19" i="48"/>
  <c r="G19" i="48"/>
  <c r="H19" i="48"/>
  <c r="L19" i="48"/>
  <c r="B20" i="48"/>
  <c r="C20" i="48"/>
  <c r="D20" i="48"/>
  <c r="E20" i="48"/>
  <c r="F20" i="48"/>
  <c r="G20" i="48"/>
  <c r="H20" i="48"/>
  <c r="L20" i="48"/>
  <c r="B21" i="48"/>
  <c r="C21" i="48"/>
  <c r="D21" i="48"/>
  <c r="E21" i="48"/>
  <c r="F21" i="48"/>
  <c r="G21" i="48"/>
  <c r="H21" i="48"/>
  <c r="L21" i="48"/>
  <c r="B13" i="33"/>
  <c r="B12" i="33"/>
  <c r="B9" i="33"/>
  <c r="B8" i="33"/>
  <c r="B7" i="33"/>
  <c r="B6" i="33"/>
  <c r="G5" i="33"/>
  <c r="G6" i="33" s="1"/>
  <c r="G7" i="33" s="1"/>
  <c r="G8" i="33" s="1"/>
  <c r="G9" i="33" s="1"/>
  <c r="G10" i="33" s="1"/>
  <c r="F5" i="33"/>
  <c r="F6" i="33" s="1"/>
  <c r="F7" i="33" s="1"/>
  <c r="F8" i="33" s="1"/>
  <c r="F9" i="33" s="1"/>
  <c r="F10" i="33" s="1"/>
  <c r="B5" i="33"/>
  <c r="E5" i="33" s="1"/>
  <c r="B4" i="33"/>
  <c r="B39" i="29"/>
  <c r="K38" i="29"/>
  <c r="J38" i="29"/>
  <c r="I38" i="29"/>
  <c r="H38" i="29"/>
  <c r="G38" i="29"/>
  <c r="F38" i="29"/>
  <c r="E38" i="29"/>
  <c r="D38" i="29"/>
  <c r="C38" i="29"/>
  <c r="B38" i="29"/>
  <c r="L38" i="29" s="1"/>
  <c r="H32" i="29"/>
  <c r="H39" i="29" s="1"/>
  <c r="B32" i="29"/>
  <c r="K31" i="29"/>
  <c r="L31" i="29" s="1"/>
  <c r="J31" i="29"/>
  <c r="I31" i="29"/>
  <c r="H31" i="29"/>
  <c r="G31" i="29"/>
  <c r="F31" i="29"/>
  <c r="E31" i="29"/>
  <c r="D31" i="29"/>
  <c r="C31" i="29"/>
  <c r="C32" i="29" s="1"/>
  <c r="B31" i="29"/>
  <c r="K27" i="29"/>
  <c r="K32" i="29" s="1"/>
  <c r="K39" i="29" s="1"/>
  <c r="J27" i="29"/>
  <c r="J32" i="29" s="1"/>
  <c r="J39" i="29" s="1"/>
  <c r="I27" i="29"/>
  <c r="I32" i="29" s="1"/>
  <c r="I39" i="29" s="1"/>
  <c r="H27" i="29"/>
  <c r="G27" i="29"/>
  <c r="G32" i="29" s="1"/>
  <c r="G39" i="29" s="1"/>
  <c r="F27" i="29"/>
  <c r="F32" i="29" s="1"/>
  <c r="F39" i="29" s="1"/>
  <c r="E27" i="29"/>
  <c r="E32" i="29" s="1"/>
  <c r="E39" i="29" s="1"/>
  <c r="D27" i="29"/>
  <c r="D32" i="29" s="1"/>
  <c r="D39" i="29" s="1"/>
  <c r="C27" i="29"/>
  <c r="B27" i="29"/>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P18" i="1"/>
  <c r="P17" i="1"/>
  <c r="O17" i="1"/>
  <c r="J16" i="1"/>
  <c r="I16" i="1"/>
  <c r="F16" i="1"/>
  <c r="E16" i="1"/>
  <c r="D16" i="1"/>
  <c r="C16" i="1"/>
  <c r="B16" i="1"/>
  <c r="P15" i="1"/>
  <c r="N15" i="1"/>
  <c r="O15" i="1" s="1"/>
  <c r="M15" i="1"/>
  <c r="L15" i="1"/>
  <c r="K15" i="1"/>
  <c r="P14" i="1"/>
  <c r="N14" i="1"/>
  <c r="M14" i="1"/>
  <c r="L14" i="1"/>
  <c r="K14" i="1"/>
  <c r="P13" i="1"/>
  <c r="N13" i="1"/>
  <c r="M13" i="1"/>
  <c r="O13" i="1" s="1"/>
  <c r="L13" i="1"/>
  <c r="K13" i="1"/>
  <c r="P12" i="1"/>
  <c r="N12" i="1"/>
  <c r="M12" i="1"/>
  <c r="O12" i="1" s="1"/>
  <c r="L12" i="1"/>
  <c r="K12" i="1"/>
  <c r="O11" i="1"/>
  <c r="P10" i="1"/>
  <c r="N10" i="1"/>
  <c r="O10" i="1" s="1"/>
  <c r="M10" i="1"/>
  <c r="L10" i="1"/>
  <c r="L16" i="1" s="1"/>
  <c r="K10" i="1"/>
  <c r="K16" i="1" s="1"/>
  <c r="P9" i="1"/>
  <c r="P16" i="1" s="1"/>
  <c r="N9" i="1"/>
  <c r="O9" i="1" s="1"/>
  <c r="M9" i="1"/>
  <c r="M16" i="1" s="1"/>
  <c r="L9" i="1"/>
  <c r="K9" i="1"/>
  <c r="P8" i="1"/>
  <c r="N8" i="1"/>
  <c r="O8" i="1" s="1"/>
  <c r="M8" i="1"/>
  <c r="L8" i="1"/>
  <c r="K8" i="1"/>
  <c r="P7" i="1"/>
  <c r="N7" i="1"/>
  <c r="O7" i="1" s="1"/>
  <c r="M7" i="1"/>
  <c r="L7" i="1"/>
  <c r="K7" i="1"/>
  <c r="P6" i="1"/>
  <c r="N6" i="1"/>
  <c r="O6" i="1" s="1"/>
  <c r="M6" i="1"/>
  <c r="L6" i="1"/>
  <c r="K6" i="1"/>
  <c r="J6" i="1"/>
  <c r="I6" i="1"/>
  <c r="H6" i="1"/>
  <c r="H16" i="1" s="1"/>
  <c r="I10" i="48" l="1"/>
  <c r="F12" i="33"/>
  <c r="F11" i="33"/>
  <c r="F13" i="33" s="1"/>
  <c r="G12" i="33"/>
  <c r="G11" i="33"/>
  <c r="G13" i="33" s="1"/>
  <c r="E6" i="33"/>
  <c r="E7" i="33" s="1"/>
  <c r="E8" i="33"/>
  <c r="E9" i="33" s="1"/>
  <c r="E10" i="33" s="1"/>
  <c r="C39" i="29"/>
  <c r="L39" i="29" s="1"/>
  <c r="L32" i="29"/>
  <c r="L27" i="29"/>
  <c r="N16" i="1"/>
  <c r="O16" i="1" s="1"/>
  <c r="E11" i="33" l="1"/>
  <c r="E13" i="33" s="1"/>
  <c r="E12" i="33"/>
  <c r="A17" i="45" l="1"/>
  <c r="A16" i="45"/>
  <c r="A5" i="45" l="1"/>
  <c r="A6" i="45"/>
  <c r="A10" i="45"/>
  <c r="A11" i="45"/>
  <c r="A12" i="45"/>
  <c r="A13" i="45"/>
  <c r="A14" i="45"/>
</calcChain>
</file>

<file path=xl/sharedStrings.xml><?xml version="1.0" encoding="utf-8"?>
<sst xmlns="http://schemas.openxmlformats.org/spreadsheetml/2006/main" count="653" uniqueCount="354">
  <si>
    <t>Formations d'ingénieurs (1)</t>
  </si>
  <si>
    <t>Autres diplômes universitaires
(dont santé) (2)</t>
  </si>
  <si>
    <t>Autres (3)</t>
  </si>
  <si>
    <t>Universités (1)</t>
  </si>
  <si>
    <t>CPGE (3)</t>
  </si>
  <si>
    <t>Ecoles paramédicales et sociales (4)</t>
  </si>
  <si>
    <t>(3) Les effectifs d'étudiants en diplôme d'études comptables et financières ont été comptés en CPGE avant 1990 et avec les autres établissements et formations ensuite.</t>
  </si>
  <si>
    <t>Autres</t>
  </si>
  <si>
    <t>Ensemble</t>
  </si>
  <si>
    <t>Total</t>
  </si>
  <si>
    <t>Académies</t>
  </si>
  <si>
    <t>Aix-Marseille</t>
  </si>
  <si>
    <t xml:space="preserve">Amiens         </t>
  </si>
  <si>
    <t xml:space="preserve">Besançon       </t>
  </si>
  <si>
    <t xml:space="preserve">Bordeaux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</si>
  <si>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</si>
  <si>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</si>
  <si>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</si>
  <si>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</si>
  <si>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</si>
  <si>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</si>
  <si>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</si>
  <si>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</si>
  <si>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</si>
  <si>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</si>
  <si>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</si>
  <si>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Orléans-Tours</t>
  </si>
  <si>
    <t xml:space="preserve">Poitiers       </t>
  </si>
  <si>
    <t xml:space="preserve">Reims          </t>
  </si>
  <si>
    <t xml:space="preserve">Rennes         </t>
  </si>
  <si>
    <t xml:space="preserve">Strasbourg     </t>
  </si>
  <si>
    <t xml:space="preserve">Toulouse       </t>
  </si>
  <si>
    <t>Total province</t>
  </si>
  <si>
    <t>Paris</t>
  </si>
  <si>
    <t>Créteil</t>
  </si>
  <si>
    <t xml:space="preserve">Versailles     </t>
  </si>
  <si>
    <t>Total Ile-de-France</t>
  </si>
  <si>
    <t xml:space="preserve"> France métropolitaine</t>
  </si>
  <si>
    <t>Guadeloupe</t>
  </si>
  <si>
    <t>Guyane</t>
  </si>
  <si>
    <t>Martinique</t>
  </si>
  <si>
    <t>Mayotte</t>
  </si>
  <si>
    <t>En milliers</t>
  </si>
  <si>
    <t>Diplômes LMD</t>
  </si>
  <si>
    <t>Professions de santé</t>
  </si>
  <si>
    <t>CPGE  + Préparations intégrées</t>
  </si>
  <si>
    <t>Lycées</t>
  </si>
  <si>
    <t>dont privé</t>
  </si>
  <si>
    <t xml:space="preserve">Autres écoles de spécialités diverses </t>
  </si>
  <si>
    <t>CPGE</t>
  </si>
  <si>
    <t>Ecoles  paramédicales et sociales</t>
  </si>
  <si>
    <t>Public</t>
  </si>
  <si>
    <t>Privé</t>
  </si>
  <si>
    <t>Universités (2)</t>
  </si>
  <si>
    <t>Écoles normales supérieures</t>
  </si>
  <si>
    <t>Écoles de commerce, gestion et comptabilité</t>
  </si>
  <si>
    <t>Écoles juridiques et administratives</t>
  </si>
  <si>
    <t>Écoles de journalisme et écoles littéraires</t>
  </si>
  <si>
    <t>Écoles d'architecture</t>
  </si>
  <si>
    <t>Écoles vétérinaires</t>
  </si>
  <si>
    <t>(3) Ecoles d'art, d'architecture, établissements universitaires privés, écoles de commerce à diplôme non visé, autres établissements ou formations de spécialités diverses.</t>
  </si>
  <si>
    <t>CPGE  + préparations intégrées</t>
  </si>
  <si>
    <t>Autre établissements d'enseignement universitaire (3)</t>
  </si>
  <si>
    <t>Écoles d'ingénieurs</t>
  </si>
  <si>
    <t>Écoles paramédicales hors université (4)</t>
  </si>
  <si>
    <t>Écoles préparant aux fonctions sociales (4)</t>
  </si>
  <si>
    <t>Écoles supérieures artistiques et culturelles</t>
  </si>
  <si>
    <t>2013-14</t>
  </si>
  <si>
    <t>2014-15</t>
  </si>
  <si>
    <t>La Réunion</t>
  </si>
  <si>
    <t>2015-2016</t>
  </si>
  <si>
    <t>2014-2015</t>
  </si>
  <si>
    <t>2013-2014</t>
  </si>
  <si>
    <t>2012-2013</t>
  </si>
  <si>
    <t>2010-2011</t>
  </si>
  <si>
    <t>2005-2006</t>
  </si>
  <si>
    <t>2000-2001</t>
  </si>
  <si>
    <t>Année</t>
  </si>
  <si>
    <t>Universités</t>
  </si>
  <si>
    <t>(2) y compris formations universitaires et formations d'ingénieurs en partenariat.</t>
  </si>
  <si>
    <t>(1) hors préparation au DUT et formations d'ingénieurs.</t>
  </si>
  <si>
    <t>Formations d'ingénieurs (2)</t>
  </si>
  <si>
    <t>Université (1)</t>
  </si>
  <si>
    <t>2015-16</t>
  </si>
  <si>
    <t xml:space="preserve">   dont étudiants étrangers</t>
  </si>
  <si>
    <t xml:space="preserve">   dont privé</t>
  </si>
  <si>
    <t xml:space="preserve">  dont ingénieurs (yc en partenariat)</t>
  </si>
  <si>
    <t>Autre Formations</t>
  </si>
  <si>
    <t>Ecoles normales supérieures</t>
  </si>
  <si>
    <t>CPGE et prépas intégrées</t>
  </si>
  <si>
    <t>Sciences</t>
  </si>
  <si>
    <t>Santé</t>
  </si>
  <si>
    <t xml:space="preserve">STAPS </t>
  </si>
  <si>
    <t>Arts, lettres, langues, SHS</t>
  </si>
  <si>
    <t>Économie, AES</t>
  </si>
  <si>
    <t>Droit, sciences politiques</t>
  </si>
  <si>
    <t>Retraités et inactifs</t>
  </si>
  <si>
    <t>Ouvriers</t>
  </si>
  <si>
    <t>Employés</t>
  </si>
  <si>
    <t>Professions Intermédiaires</t>
  </si>
  <si>
    <t>Cadres et professions intellectuelles supérieures</t>
  </si>
  <si>
    <t>Agriculteurs, artisans, commerçants et chefs d'entreprise</t>
  </si>
  <si>
    <r>
      <t>** Y compris les formations d’ingénieurs en partenariat.</t>
    </r>
    <r>
      <rPr>
        <b/>
        <sz val="8"/>
        <rFont val="Arial"/>
        <family val="2"/>
      </rPr>
      <t/>
    </r>
  </si>
  <si>
    <t>Form. d'ingénieurs hors université**</t>
  </si>
  <si>
    <t>Form. d’ingénieurs **</t>
  </si>
  <si>
    <t>Ensemble univ.</t>
  </si>
  <si>
    <t>Ecoles paramédicales et sociales***</t>
  </si>
  <si>
    <t>Non réponse</t>
  </si>
  <si>
    <t>Universités - Sciences, Staps</t>
  </si>
  <si>
    <t>Universités - Droit, économie, AES</t>
  </si>
  <si>
    <t>Universités - Médecine, odontologie, pharmacie</t>
  </si>
  <si>
    <t>Boursiers sur critères sociaux</t>
  </si>
  <si>
    <t>dont aide au mérite</t>
  </si>
  <si>
    <t>En % d'étudiants concernés</t>
  </si>
  <si>
    <t>Ecoles de commerce, gestion et comptabilité (hors STS)</t>
  </si>
  <si>
    <t>Écoles de commerce, gestion et comptabilité à diplôme visé (hors STS)</t>
  </si>
  <si>
    <t>Amérique</t>
  </si>
  <si>
    <t xml:space="preserve"> </t>
  </si>
  <si>
    <t>Écoles de commerce, gestion et vente</t>
  </si>
  <si>
    <t>2016-2017</t>
  </si>
  <si>
    <t>2016-17</t>
  </si>
  <si>
    <t>Sources : MESRI-SIES, Systèmes d’information SISE et Scolarité, enquêtes menées par le SIES sur les établissements d’enseignement supérieur, enquêtes spécifiques aux ministères en charge de l’agriculture, de la santé, des affaires sociales et de la culture</t>
  </si>
  <si>
    <t/>
  </si>
  <si>
    <t>dispositif constant</t>
  </si>
  <si>
    <t>2017-2018</t>
  </si>
  <si>
    <t>(2) Diplômes hors LMD, ingénieurs et DUT préparés dans les universités, les grands établissements et les établissements privés d'enseignement universitaire.</t>
  </si>
  <si>
    <t>Universités - Langues, lettres, sciences humaines</t>
  </si>
  <si>
    <t>Evolution annuelle brute
 (en %)</t>
  </si>
  <si>
    <t xml:space="preserve">Total </t>
  </si>
  <si>
    <t>2018-2019</t>
  </si>
  <si>
    <t>Code</t>
  </si>
  <si>
    <t>Académie</t>
  </si>
  <si>
    <t>Part du privé</t>
  </si>
  <si>
    <t>Aix-marseille</t>
  </si>
  <si>
    <t>Amiens</t>
  </si>
  <si>
    <t>Besancon</t>
  </si>
  <si>
    <t>Bordeaux</t>
  </si>
  <si>
    <t>Corse</t>
  </si>
  <si>
    <t>Dijon</t>
  </si>
  <si>
    <t>Grenoble</t>
  </si>
  <si>
    <t>Lille</t>
  </si>
  <si>
    <t>Limoges</t>
  </si>
  <si>
    <t>Lyon</t>
  </si>
  <si>
    <t>Montpellier</t>
  </si>
  <si>
    <t>Nantes</t>
  </si>
  <si>
    <t>Nice</t>
  </si>
  <si>
    <t>Poitiers</t>
  </si>
  <si>
    <t>Reims</t>
  </si>
  <si>
    <t>Rennes</t>
  </si>
  <si>
    <t>Strasbourg</t>
  </si>
  <si>
    <t>Toulouse</t>
  </si>
  <si>
    <t>Versailles</t>
  </si>
  <si>
    <t>Privé (à dispositif équivalent)</t>
  </si>
  <si>
    <t>2017-18</t>
  </si>
  <si>
    <t>2018-19</t>
  </si>
  <si>
    <t>En % d'étudiants concernés (méthode révisée)</t>
  </si>
  <si>
    <t>Ensemble des étudiants percevant au moins une aide (1)</t>
  </si>
  <si>
    <t>ancienne méthode</t>
  </si>
  <si>
    <t>méthode révisée</t>
  </si>
  <si>
    <t xml:space="preserve">STS </t>
  </si>
  <si>
    <t>STS</t>
  </si>
  <si>
    <r>
      <rPr>
        <b/>
        <sz val="8"/>
        <rFont val="Arial"/>
        <family val="2"/>
      </rPr>
      <t>3</t>
    </r>
    <r>
      <rPr>
        <sz val="8"/>
        <rFont val="Arial"/>
        <family val="2"/>
      </rPr>
      <t>. Avant révision, cela comprend les universités, universités de technologie, écoles normales supérieures, instituts nationaux polytechniques, instituts d'études politiques, établissements privés d'enseignement universitaire. Après révision, uniquement les universités.</t>
    </r>
  </si>
  <si>
    <t>Cartes</t>
  </si>
  <si>
    <t>AFRIQUE</t>
  </si>
  <si>
    <t>Maroc</t>
  </si>
  <si>
    <t>Algérie</t>
  </si>
  <si>
    <t>Tunisie</t>
  </si>
  <si>
    <t>Sénégal</t>
  </si>
  <si>
    <t>Autres Afrique</t>
  </si>
  <si>
    <t>ASIE, OCEANIE</t>
  </si>
  <si>
    <t>Chine</t>
  </si>
  <si>
    <t>Autres Asie, Océanie</t>
  </si>
  <si>
    <t>EUROPE</t>
  </si>
  <si>
    <t>Allemagne</t>
  </si>
  <si>
    <t>Italie</t>
  </si>
  <si>
    <t>Autres Europe</t>
  </si>
  <si>
    <t>AMERIQUE</t>
  </si>
  <si>
    <t>Données</t>
  </si>
  <si>
    <t>Etudiants en mobilité internationale</t>
  </si>
  <si>
    <t>Etudiants étrangers en mobilité internationale</t>
  </si>
  <si>
    <t>Français (1)</t>
  </si>
  <si>
    <t xml:space="preserve">Français (1) </t>
  </si>
  <si>
    <t>2016 (5)</t>
  </si>
  <si>
    <t>(5) Des opérations d’identification d’établissements manquants et d’extension de la couverture du système d’informations individualisé (auparavant fondé sur des données agrégées pour certains établissements) ont été mises en œuvre depuis la collecte 2016-2017 (voir Encadré Sources, champs et définitions).</t>
  </si>
  <si>
    <t>Répartition (%)</t>
  </si>
  <si>
    <r>
      <t xml:space="preserve">Graphique 2 - Part des femmes dans les différentes formations d'enseignement supérieur </t>
    </r>
    <r>
      <rPr>
        <sz val="12"/>
        <color rgb="FF000000"/>
        <rFont val="Arial"/>
        <family val="2"/>
      </rPr>
      <t>(en %)</t>
    </r>
  </si>
  <si>
    <t>En % des boursiers par type de de formation (2)</t>
  </si>
  <si>
    <t xml:space="preserve">Champ : France métropolitaine + DOM (Mayotte à partir de 2011) </t>
  </si>
  <si>
    <t>Sommaire</t>
  </si>
  <si>
    <t>Normandie</t>
  </si>
  <si>
    <t>2019-2020</t>
  </si>
  <si>
    <t>02</t>
  </si>
  <si>
    <t>03</t>
  </si>
  <si>
    <t>04</t>
  </si>
  <si>
    <t>06</t>
  </si>
  <si>
    <t>07</t>
  </si>
  <si>
    <t>08</t>
  </si>
  <si>
    <t>09</t>
  </si>
  <si>
    <t>01</t>
  </si>
  <si>
    <t>70</t>
  </si>
  <si>
    <t xml:space="preserve">hors inscriptions simultanées en licence et en CPGE </t>
  </si>
  <si>
    <t>Champ : France métropolitaine + DROM</t>
  </si>
  <si>
    <t>Cursus licence</t>
  </si>
  <si>
    <t>Cursus master</t>
  </si>
  <si>
    <t>Evolution 15/16</t>
  </si>
  <si>
    <t>Evolution 16/17</t>
  </si>
  <si>
    <t>Evolution 17/18</t>
  </si>
  <si>
    <t>Evolution 18/19</t>
  </si>
  <si>
    <t>Evolution en 5 ans</t>
  </si>
  <si>
    <t>Europe UE</t>
  </si>
  <si>
    <t>Asie, Océanie</t>
  </si>
  <si>
    <t>Afrique (Maghreb)</t>
  </si>
  <si>
    <t>Afrique subsahérienne</t>
  </si>
  <si>
    <t>Total (y compris non renseigné)</t>
  </si>
  <si>
    <t>(1) Y compris Lorraine</t>
  </si>
  <si>
    <t>hors inscriptions simultanées Licence-CPGE</t>
  </si>
  <si>
    <t> Champ : France métropolitaine + DROM.</t>
  </si>
  <si>
    <t>Champ : France métropolitaine et DROM.</t>
  </si>
  <si>
    <t xml:space="preserve">Champ : France métropolitaine + DROM (Mayotte à partir de 2011) </t>
  </si>
  <si>
    <t xml:space="preserve">Champ : France métropolitaine + DROM </t>
  </si>
  <si>
    <t>En %</t>
  </si>
  <si>
    <t xml:space="preserve">Graphique 1: Évolution des effectifs d'inscrits dans l'enseignement supérieur, selon le secteur et la tutelle depuis 2010, base 100 en 2010 </t>
  </si>
  <si>
    <t>Europe UE (1)</t>
  </si>
  <si>
    <t>1. UE (hors Royaume Uni) + Islande, Norvège, Liechtenstein et Andorre et Suisse. Il s'agit des pays européens qui ne sont pas concernés par la différenciation des droits d'inscription.</t>
  </si>
  <si>
    <t>1. UE (hors Royaume Uni) + Islande, Norvège, Liechtenstein et Andorre et Suisse, pays européens qui ne sont pas concernés par la différenciation des frais de scolarité.</t>
  </si>
  <si>
    <t xml:space="preserve">(2) Y compris Mayotte, devenu un DOM à partir de 2011. </t>
  </si>
  <si>
    <r>
      <rPr>
        <b/>
        <sz val="8"/>
        <rFont val="Arial"/>
        <family val="2"/>
      </rPr>
      <t>2.</t>
    </r>
    <r>
      <rPr>
        <sz val="8"/>
        <rFont val="Arial"/>
        <family val="2"/>
      </rPr>
      <t xml:space="preserve"> Périmètre 2019, soit sans prise en compte du périmètre des grands ensembles universitaires créés ou modifiés par décrets en 2020, en application de l’ordonnance sur les établissements expérimentaux.</t>
    </r>
  </si>
  <si>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Paris-Dauphine, EHESS, IEP Paris, École nationale supérieure des sciences de l’information et des bibliothèques, Inalco, Observatoire de Paris, École pratique des hautes études, Museum national d'histoire naturelle, École nationale des chartes.</t>
    </r>
  </si>
  <si>
    <t xml:space="preserve">(6) Les chiffres prennent en compte le nouveau périmètre des universités, comprenant les établissements publics expérimentaux créés ou modifiés à partir de 2020. Les taux d’évolution sont calculés sur le périmètre des universités au sens strict. </t>
  </si>
  <si>
    <t>Total DROM</t>
  </si>
  <si>
    <t xml:space="preserve"> France métro. + DROM</t>
  </si>
  <si>
    <t>2020-2021</t>
  </si>
  <si>
    <t>STS apprentis</t>
  </si>
  <si>
    <t>STS et assimilés (scolaires) (2)</t>
  </si>
  <si>
    <t>STS et assimilés (scolaires)</t>
  </si>
  <si>
    <t>Part STS (scolaires &amp; apprentis)</t>
  </si>
  <si>
    <t>Evolution 19/20</t>
  </si>
  <si>
    <t>Part des étudiants internationaux (hors STS en apprentissage)</t>
  </si>
  <si>
    <t xml:space="preserve">(4) Données provisoires en 2021-2022 pour les formations paramédicales et sociales (reconduction des données 2020-2021). </t>
  </si>
  <si>
    <r>
      <rPr>
        <b/>
        <sz val="8"/>
        <rFont val="Arial"/>
        <family val="2"/>
      </rPr>
      <t xml:space="preserve">1. </t>
    </r>
    <r>
      <rPr>
        <sz val="8"/>
        <rFont val="Arial"/>
        <family val="2"/>
      </rPr>
      <t>Y compris les formations d’ingénieurs en partenariat, soit 13 399 étudiants en 2021.</t>
    </r>
  </si>
  <si>
    <t>STS et assimilés (apprentis)</t>
  </si>
  <si>
    <t xml:space="preserve">Evolution 2021/2020 (%)
</t>
  </si>
  <si>
    <t>Source : SIES-MESR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</si>
  <si>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t xml:space="preserve">Évolution 2020/2021 (%) </t>
  </si>
  <si>
    <t>(1) Ensemble des formations d'ingénieurs (universitaires ou non), y compris les formations d'ingénieurs en partenariat, soit 13 399 étudiants en 2021.</t>
  </si>
  <si>
    <t>Evolution des effectifs d'étudiants entre 2020 et 2021</t>
  </si>
  <si>
    <t>2010-11</t>
  </si>
  <si>
    <t>2011-12</t>
  </si>
  <si>
    <t>2012-13</t>
  </si>
  <si>
    <t>2019-20</t>
  </si>
  <si>
    <t>2020-21</t>
  </si>
  <si>
    <t>2021-22</t>
  </si>
  <si>
    <t>Public MESR (1)</t>
  </si>
  <si>
    <t>Public hors MESR (1)</t>
  </si>
  <si>
    <t>Public MESR (à dispositif équivalent)</t>
  </si>
  <si>
    <t>Public hors MESR (à dispositif équivalent)</t>
  </si>
  <si>
    <r>
      <rPr>
        <b/>
        <sz val="8"/>
        <rFont val="Arial"/>
        <family val="2"/>
      </rPr>
      <t>1.</t>
    </r>
    <r>
      <rPr>
        <sz val="8"/>
        <rFont val="Arial"/>
        <family val="2"/>
      </rPr>
      <t xml:space="preserve"> MESR : Ministère de l'enseignement supérieur et de la recherche.</t>
    </r>
  </si>
  <si>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en partie due à une amélioration du dispositif de collecte. L'évolution à dispositif équivalent est représentée en pointillés. Les courbes Public et Public MESR sont quasiment confondues.</t>
    </r>
  </si>
  <si>
    <t>►Champ : France métropolitaine + DROM (Mayotte à partir de 2011).</t>
  </si>
  <si>
    <t>2011-2012</t>
  </si>
  <si>
    <t>2021-2022</t>
  </si>
  <si>
    <t>Ensemble des étudiants</t>
  </si>
  <si>
    <t>Formations paramédicales et sociales (1)</t>
  </si>
  <si>
    <r>
      <rPr>
        <b/>
        <sz val="8"/>
        <rFont val="Arial"/>
        <family val="2"/>
      </rPr>
      <t>1.</t>
    </r>
    <r>
      <rPr>
        <sz val="8"/>
        <rFont val="Arial"/>
        <family val="2"/>
      </rPr>
      <t xml:space="preserve"> Les dernières données disponibles portent sur 2020-2021.</t>
    </r>
  </si>
  <si>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</si>
  <si>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t>STS (apprentis)</t>
  </si>
  <si>
    <t>-</t>
  </si>
  <si>
    <t xml:space="preserve">  dont préparation DUT ou BUT</t>
  </si>
  <si>
    <t>Préparation DUT ou BUT</t>
  </si>
  <si>
    <r>
      <rPr>
        <b/>
        <sz val="8"/>
        <rFont val="Arial"/>
        <family val="2"/>
      </rPr>
      <t xml:space="preserve">4. </t>
    </r>
    <r>
      <rPr>
        <sz val="8"/>
        <rFont val="Arial"/>
        <family val="2"/>
      </rPr>
      <t xml:space="preserve">Données provisoires en 2021-2022 pour les formations paramédicales et sociales (reconduction des données 2020-2021). </t>
    </r>
  </si>
  <si>
    <t>Ensemble des universités (hors DUT ou BUT)</t>
  </si>
  <si>
    <t>Préparation au DUT ou BUT</t>
  </si>
  <si>
    <t>L'origine des étudiants n'est pas renseignée pour moins de 15 % des étudiants dans toutes les filières sauf pour les STS en apprentissage (56 %), les écoles de commerce, gestion et comptabilité  (38 %) et les écoles artistiques ou de journalisme (43 %), non représentées.</t>
  </si>
  <si>
    <r>
      <t xml:space="preserve">*** Données 2020-2021 pour les formations paramédicales et sociales. </t>
    </r>
    <r>
      <rPr>
        <b/>
        <sz val="8"/>
        <rFont val="Arial"/>
        <family val="2"/>
      </rPr>
      <t/>
    </r>
  </si>
  <si>
    <t>Sources : MESR-SIES, Systèmes d’information SISE et Scolarité, enquêtes menées par le SIES sur les établissements d’enseignement supérieur, enquêtes spécifiques aux ministères en charge de l’agriculture, de la santé, des affaires sociales et de la culture</t>
  </si>
  <si>
    <t>Ensemble (2)</t>
  </si>
  <si>
    <t>(2) Hors étudiants en STS en apprentissage, pour lesquels la mobilité n'est pas calculée</t>
  </si>
  <si>
    <t>STS (scolaires) et CPGE</t>
  </si>
  <si>
    <t>Total enseignement supérieur (3)</t>
  </si>
  <si>
    <t>(3) hors étudiant en STS en apprentissage, pour lesquels la mobilité n'est pas calculée.</t>
  </si>
  <si>
    <t>Sources : MESR-SIES, Systèmes d’information SISE et Scolarité, enquêtes menées par le SIES sur les établissements d’enseignement supérieur, enquêtes spécifiques aux ministères en charge de l’agriculture, de la santé, des affaires sociales et de la culture.</t>
  </si>
  <si>
    <t>(1) : hors étudiants étrangers à la nationalité non renseignée (0,7 % des étudiants étrangers en mobilité internationale en 2021-2022).</t>
  </si>
  <si>
    <t>Part en 2021</t>
  </si>
  <si>
    <t>Afrique subsaharienne</t>
  </si>
  <si>
    <t>Evolution 20/21</t>
  </si>
  <si>
    <t>Sources : MESR-SIES, Systèmes d’information SISE et Scolarité, enquêtes menées par le SIES sur les établissements d’enseignement supérieur, enquête SIFA, enquêtes spécifiques aux ministères en charge de l’agriculture, de la santé, des affaires sociales et de la culture</t>
  </si>
  <si>
    <t>* Les proportions sont calculées en excluant les étudiants pour lesquels l'origine n'est pas renseignée, soit 13 % d'entre eux.</t>
  </si>
  <si>
    <t>(1) y compris les étudiants étrangers ayant obtenu un baccalauréat ou une équivalence sur le territoire français. En 2020-21, ils sont au nombre de 89 800 (soit 3,6 % des étudiants Français ou résidents).</t>
  </si>
  <si>
    <t>* Les proportions sont calculées en excluant les étudiants pour lesquels l'origine n'est pas renseignée, soit 16 % d'entre eux</t>
  </si>
  <si>
    <t>Formations d'ingénieurs (hors universités yc en partenariat)</t>
  </si>
  <si>
    <t>2021 Périmètre EPE (6)</t>
  </si>
  <si>
    <t>NB : Le territoire en haut à gauche correspond au zoom sur l'académie de Paris</t>
  </si>
  <si>
    <r>
      <t xml:space="preserve">Graphique 1 - </t>
    </r>
    <r>
      <rPr>
        <b/>
        <sz val="11"/>
        <rFont val="Calibri"/>
        <family val="2"/>
      </rPr>
      <t>É</t>
    </r>
    <r>
      <rPr>
        <b/>
        <sz val="11"/>
        <rFont val="Arial"/>
        <family val="2"/>
      </rPr>
      <t>volution des effectifs de l'enseignement supérieur et de l'université</t>
    </r>
    <r>
      <rPr>
        <sz val="11"/>
        <rFont val="Arial"/>
        <family val="2"/>
      </rPr>
      <t xml:space="preserve"> (en milliers)</t>
    </r>
  </si>
  <si>
    <t>Universités hors DUT ou BUT</t>
  </si>
  <si>
    <t>Total enseignement supérieur</t>
  </si>
  <si>
    <r>
      <t>Graphique 2 - Évolution des effectifs de l'enseignement supérieur, détail des disciplines</t>
    </r>
    <r>
      <rPr>
        <sz val="11"/>
        <rFont val="Arial"/>
        <family val="2"/>
      </rPr>
      <t xml:space="preserve"> (en milliers)</t>
    </r>
  </si>
  <si>
    <t xml:space="preserve"> Préparation DUT ou BUT</t>
  </si>
  <si>
    <t>Formations d'ingénieurs (yc en partenariat)</t>
  </si>
  <si>
    <t>STS et assimilés (scolaires) (1)</t>
  </si>
  <si>
    <t>Ecoles paramédicales et sociales (2)</t>
  </si>
  <si>
    <t>Autre Formations (hors université)</t>
  </si>
  <si>
    <t xml:space="preserve">(1) Y compris Mayotte, devenu un DOM à partir de 2011. </t>
  </si>
  <si>
    <t xml:space="preserve">(2) Données provisoires en 2021-2022 pour les formations paramédicales et sociales (reconduction des données 2020-2021). </t>
  </si>
  <si>
    <r>
      <t>Graphique 2 - Evolution des effectifs de l'enseignement supérieur, détail des disciplines</t>
    </r>
    <r>
      <rPr>
        <sz val="11"/>
        <rFont val="Arial"/>
        <family val="2"/>
      </rPr>
      <t xml:space="preserve"> (en milliers)</t>
    </r>
  </si>
  <si>
    <r>
      <t>Tableau 1 - Nombre d'étudiants inscrits dans l'enseignement supérieur en fonction de la filière et du type d'établissement</t>
    </r>
    <r>
      <rPr>
        <b/>
        <sz val="11"/>
        <color indexed="10"/>
        <rFont val="Arial"/>
        <family val="2"/>
      </rPr>
      <t xml:space="preserve"> </t>
    </r>
    <r>
      <rPr>
        <b/>
        <sz val="11"/>
        <rFont val="Arial"/>
        <family val="2"/>
      </rPr>
      <t xml:space="preserve">en 2021-2022  </t>
    </r>
    <r>
      <rPr>
        <sz val="11"/>
        <rFont val="Arial"/>
        <family val="2"/>
      </rPr>
      <t>(en milliers)</t>
    </r>
  </si>
  <si>
    <t>Tableau 2 - Évolution du nombre d'étudiants bénéficiant d'une aide financière</t>
  </si>
  <si>
    <t>Tableau 3 - Répartition par académie des principales filières de l'enseignement supérieur en 2021-2022, évolution par rapport à 2020-2021</t>
  </si>
  <si>
    <t xml:space="preserve">Graphique 3 - Évolution des effectifs d'inscrits dans l'enseignement supérieur, selon le secteur et la tutelle depuis 2010, base 100 en 2010 </t>
  </si>
  <si>
    <r>
      <t xml:space="preserve">Graphique 4 - Part des femmes dans les différentes formations d'enseignement supérieur </t>
    </r>
    <r>
      <rPr>
        <sz val="10"/>
        <rFont val="Arial"/>
        <family val="2"/>
      </rPr>
      <t>(en %)</t>
    </r>
  </si>
  <si>
    <r>
      <t xml:space="preserve">Graphique 5 - Origine sociale* des étudiants français en 2021-2022 </t>
    </r>
    <r>
      <rPr>
        <sz val="18"/>
        <rFont val="Arial"/>
        <family val="2"/>
      </rPr>
      <t>(en %)</t>
    </r>
  </si>
  <si>
    <t>Graphique 6 - Évolution des effectifs étudiants français et étrangers en mobilité internationale depuis 2012 (base 100)</t>
  </si>
  <si>
    <r>
      <t xml:space="preserve">Graphique 7 - </t>
    </r>
    <r>
      <rPr>
        <b/>
        <sz val="12"/>
        <color rgb="FF000000"/>
        <rFont val="Calibri"/>
        <family val="2"/>
      </rPr>
      <t>É</t>
    </r>
    <r>
      <rPr>
        <b/>
        <sz val="12"/>
        <color rgb="FF000000"/>
        <rFont val="Arial"/>
        <family val="2"/>
      </rPr>
      <t>volution de la proportion d'étudiants étrangers en mobilité internationale  dans les principales formations de l'enseignement supérieur</t>
    </r>
  </si>
  <si>
    <r>
      <t>Annexe 3 -</t>
    </r>
    <r>
      <rPr>
        <b/>
        <sz val="12"/>
        <color theme="1"/>
        <rFont val="Calibri"/>
        <family val="2"/>
      </rPr>
      <t>É</t>
    </r>
    <r>
      <rPr>
        <b/>
        <sz val="12"/>
        <color theme="1"/>
        <rFont val="Calibri"/>
        <family val="2"/>
        <scheme val="minor"/>
      </rPr>
      <t>volution des étudiants étrangers en mobilité internationale par continent de provenance de 2014 à 2021</t>
    </r>
  </si>
  <si>
    <r>
      <t xml:space="preserve">Annexe 1 - </t>
    </r>
    <r>
      <rPr>
        <b/>
        <sz val="11"/>
        <rFont val="Calibri"/>
        <family val="2"/>
      </rPr>
      <t>É</t>
    </r>
    <r>
      <rPr>
        <b/>
        <sz val="11"/>
        <rFont val="Arial"/>
        <family val="2"/>
      </rPr>
      <t>volution des effectifs de l'enseignement supérieur</t>
    </r>
    <r>
      <rPr>
        <sz val="11"/>
        <rFont val="Arial"/>
        <family val="2"/>
      </rPr>
      <t xml:space="preserve"> (en milliers)</t>
    </r>
  </si>
  <si>
    <t>Annexe 4 - Répartition des étudiants étrangers dans l'enseignement supérieur par nationalité en 2021-2022</t>
  </si>
  <si>
    <t>Cursus Doctorat</t>
  </si>
  <si>
    <t>Effectifs</t>
  </si>
  <si>
    <t>Variation annuelle hors CPGE (en %)</t>
  </si>
  <si>
    <t>Droit sciences politiques</t>
  </si>
  <si>
    <t>Sciences économiques, gestion</t>
  </si>
  <si>
    <t>AES</t>
  </si>
  <si>
    <t>Pluridroit, sciences économiques, AES</t>
  </si>
  <si>
    <t>Total économie, AES</t>
  </si>
  <si>
    <t>Arts, lettres, sciences du langage</t>
  </si>
  <si>
    <t>Langues</t>
  </si>
  <si>
    <t>Sciences humaines et sociales</t>
  </si>
  <si>
    <t>Plurilettres, langues, sciences humaines</t>
  </si>
  <si>
    <t>Total arts, lettres, langues, SHS</t>
  </si>
  <si>
    <t>Sciences fondamentales et application</t>
  </si>
  <si>
    <t>Sciences de la nature et de la vie</t>
  </si>
  <si>
    <t>Plurisciences</t>
  </si>
  <si>
    <t>Total sciences</t>
  </si>
  <si>
    <t>Staps</t>
  </si>
  <si>
    <t>Interdisciplinaire (2)</t>
  </si>
  <si>
    <t>Total disciplines générales</t>
  </si>
  <si>
    <t>Médecine-odontologie</t>
  </si>
  <si>
    <t>Pharmacie</t>
  </si>
  <si>
    <t>Plurisanté</t>
  </si>
  <si>
    <t>Total disciplines de santé</t>
  </si>
  <si>
    <t>1 656 914 (3)</t>
  </si>
  <si>
    <t>Champ : France métropolitaine + DROM.</t>
  </si>
  <si>
    <r>
      <rPr>
        <b/>
        <sz val="8"/>
        <rFont val="Arial"/>
        <family val="2"/>
      </rPr>
      <t>2.</t>
    </r>
    <r>
      <rPr>
        <sz val="8"/>
        <rFont val="Arial"/>
        <family val="2"/>
      </rPr>
      <t xml:space="preserve"> Les diplômes interdisciplinaires sont les DU Pareo (passeport vers la réussite et l'orientation).</t>
    </r>
  </si>
  <si>
    <r>
      <rPr>
        <b/>
        <sz val="8"/>
        <rFont val="Arial"/>
        <family val="2"/>
      </rPr>
      <t>3.</t>
    </r>
    <r>
      <rPr>
        <sz val="8"/>
        <rFont val="Arial"/>
        <family val="2"/>
      </rPr>
      <t xml:space="preserve"> Ce total inclut les inscriptions dans des diplômes paramédicaux hors diplôme d'État d'infirmiers de grade licence ; 21 809 inscriptions sont concernées, en hausse de 6,4 % sur un an (l'universitarisation de ces formations se poursuit et prend de l'ampleur avec l'apparition de certaines d'entre elles sur la plateforme Parcoursup) ; en incluant le DE Infirmier grade licence, 103 271 inscriptions sont couvertes par ces diplômes (en hausse de 9,6 % sur un an).</t>
    </r>
  </si>
  <si>
    <r>
      <t xml:space="preserve">1. </t>
    </r>
    <r>
      <rPr>
        <sz val="8"/>
        <rFont val="Arial"/>
        <family val="2"/>
      </rPr>
      <t xml:space="preserve">Périmètre 2019 soit avant la création ou modification à partir de 2020 de grands ensembles universitaires (EPE). </t>
    </r>
  </si>
  <si>
    <t>Annexe 2 - Répartition des effectifs des universités françaises selon le cursus et la discipline en 2021 - 2022, périmètre historique (1)</t>
  </si>
  <si>
    <t>Graphique 7- Evolution de la proportion d'étudiants étrangers en mobilité internationale  dans les principales formations de l'enseignement supérieur</t>
  </si>
  <si>
    <t>Retour au sommaire</t>
  </si>
  <si>
    <r>
      <rPr>
        <b/>
        <sz val="8"/>
        <rFont val="Arial"/>
        <family val="2"/>
      </rPr>
      <t>1.</t>
    </r>
    <r>
      <rPr>
        <sz val="8"/>
        <rFont val="Arial"/>
        <family val="2"/>
      </rPr>
      <t xml:space="preserve"> Il est possible de cumuler plusieurs aides.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r>
  </si>
  <si>
    <t>Sources : MESR-SIES / Systèmes d'information AGLAE (extractions annuelles au 15 mars), Système d'information SISE et données sur les STS et CPGE collectées par le MEN-MESR-DEPP.</t>
  </si>
  <si>
    <t>Champ : France métropolitaine + DROM (Mayotte depuis 2013-2014).</t>
  </si>
  <si>
    <r>
      <rPr>
        <b/>
        <sz val="8"/>
        <rFont val="Arial"/>
        <family val="2"/>
      </rPr>
      <t>2</t>
    </r>
    <r>
      <rPr>
        <sz val="8"/>
        <rFont val="Arial"/>
        <family val="2"/>
      </rPr>
      <t>. Bourses sur critères sociaux du MESR et bourses sur critères universitaires (supprimées en 2008).</t>
    </r>
  </si>
  <si>
    <t>Universités et assimilés (3)</t>
  </si>
  <si>
    <t>Source : MESR-SIES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</si>
  <si>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t>Source : MESR-SIES / Système d’information SISE.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</si>
</sst>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4" formatCode="_-* #,##0.00\ &quot;€&quot;_-;\-* #,##0.00\ &quot;€&quot;_-;_-* &quot;-&quot;??\ &quot;€&quot;_-;_-@_-"/>
    <numFmt numFmtId="164" formatCode="_-* #,##0.00\ _€_-;\-* #,##0.00\ _€_-;_-* &quot;-&quot;??\ _€_-;_-@_-"/>
    <numFmt numFmtId="165" formatCode="0.0"/>
    <numFmt numFmtId="166" formatCode="0.0%"/>
    <numFmt numFmtId="167" formatCode="#,##0.0"/>
    <numFmt numFmtId="168" formatCode="&quot; F&quot;#,##0_);\(&quot; F&quot;#,##0\)"/>
    <numFmt numFmtId="169" formatCode="0&quot; F&quot;;\ \-0&quot; F&quot;"/>
    <numFmt numFmtId="170" formatCode="_-* #,##0.0\ _€_-;\-* #,##0.0\ _€_-;_-* &quot;-&quot;??\ _€_-;_-@_-"/>
    <numFmt numFmtId="171" formatCode="_-* #,##0.0\ _€_-;\-* #,##0.0\ _€_-;_-* &quot;-&quot;?\ _€_-;_-@_-"/>
    <numFmt numFmtId="172" formatCode="_-* #,##0.000\ _€_-;\-* #,##0.000\ _€_-;_-* &quot;-&quot;?\ _€_-;_-@_-"/>
    <numFmt numFmtId="173" formatCode="_-* #,##0.0000\ _€_-;\-* #,##0.0000\ _€_-;_-* &quot;-&quot;?\ _€_-;_-@_-"/>
    <numFmt numFmtId="174" formatCode="_-* #,##0.00\ [$€]_-;\-* #,##0.00\ [$€]_-;_-* &quot;-&quot;??\ [$€]_-;_-@_-"/>
    <numFmt numFmtId="175" formatCode="_(* #,##0_);_(* \(#,##0\);_(* &quot;-&quot;_);_(@_)"/>
    <numFmt numFmtId="176" formatCode="_(* #,##0.00_);_(* \(#,##0.00\);_(* &quot;-&quot;??_);_(@_)"/>
    <numFmt numFmtId="177" formatCode="_(&quot;$&quot;* #,##0_);_(&quot;$&quot;* \(#,##0\);_(&quot;$&quot;* &quot;-&quot;_);_(@_)"/>
    <numFmt numFmtId="178" formatCode="_(&quot;$&quot;* #,##0.00_);_(&quot;$&quot;* \(#,##0.00\);_(&quot;$&quot;* &quot;-&quot;??_);_(@_)"/>
    <numFmt numFmtId="179" formatCode="_-* #,##0.00\ _F_-;\-* #,##0.00\ _F_-;_-* &quot;-&quot;??\ _F_-;_-@_-"/>
    <numFmt numFmtId="180" formatCode="#,##0\ _€"/>
    <numFmt numFmtId="181" formatCode="_-* #,##0.000\ _€_-;\-* #,##0.000\ _€_-;_-* &quot;-&quot;???\ _€_-;_-@_-"/>
    <numFmt numFmtId="182" formatCode="_-* #,##0\ _€_-;\-* #,##0\ _€_-;_-* &quot;-&quot;\ _€_-;_-@_-"/>
    <numFmt numFmtId="183" formatCode="_-* #,##0.000\ _€_-;\-* #,##0.000\ _€_-;_-* &quot;-&quot;??\ _€_-;_-@_-"/>
    <numFmt numFmtId="184" formatCode="0.000"/>
    <numFmt numFmtId="185" formatCode="0.0000"/>
  </numFmts>
  <fonts count="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10"/>
      <name val="Arial"/>
      <family val="2"/>
    </font>
    <font>
      <i/>
      <sz val="8"/>
      <name val="Arial"/>
      <family val="2"/>
    </font>
    <font>
      <b/>
      <sz val="8"/>
      <name val="Arial"/>
      <family val="2"/>
    </font>
    <font>
      <sz val="8"/>
      <name val="Arial"/>
      <family val="2"/>
    </font>
    <font>
      <b/>
      <sz val="8"/>
      <color indexed="9"/>
      <name val="Arial"/>
      <family val="2"/>
    </font>
    <font>
      <sz val="8"/>
      <name val="Arial"/>
      <family val="2"/>
    </font>
    <font>
      <u/>
      <sz val="10"/>
      <color indexed="12"/>
      <name val="Arial"/>
      <family val="2"/>
    </font>
    <font>
      <sz val="10"/>
      <name val="MS Sans Serif"/>
      <family val="2"/>
    </font>
    <font>
      <b/>
      <sz val="12"/>
      <name val="Arial"/>
      <family val="2"/>
    </font>
    <font>
      <i/>
      <sz val="10"/>
      <name val="Arial"/>
      <family val="2"/>
    </font>
    <font>
      <sz val="10"/>
      <color indexed="8"/>
      <name val="Arial"/>
      <family val="2"/>
    </font>
    <font>
      <b/>
      <sz val="10"/>
      <color indexed="9"/>
      <name val="Arial"/>
      <family val="2"/>
    </font>
    <font>
      <sz val="18"/>
      <name val="Arial"/>
      <family val="2"/>
    </font>
    <font>
      <sz val="11"/>
      <color indexed="8"/>
      <name val="Calibri"/>
      <family val="2"/>
    </font>
    <font>
      <u/>
      <sz val="10"/>
      <color indexed="12"/>
      <name val="Times New Roman"/>
      <family val="1"/>
    </font>
    <font>
      <sz val="11"/>
      <color theme="1"/>
      <name val="Calibri"/>
      <family val="2"/>
      <scheme val="minor"/>
    </font>
    <font>
      <u/>
      <sz val="11"/>
      <color theme="10"/>
      <name val="Calibri"/>
      <family val="2"/>
      <scheme val="minor"/>
    </font>
    <font>
      <i/>
      <sz val="10"/>
      <color rgb="FF000000"/>
      <name val="Arial"/>
      <family val="2"/>
    </font>
    <font>
      <b/>
      <sz val="12"/>
      <color rgb="FF000000"/>
      <name val="Arial"/>
      <family val="2"/>
    </font>
    <font>
      <b/>
      <sz val="10"/>
      <color theme="0"/>
      <name val="Arial"/>
      <family val="2"/>
    </font>
    <font>
      <b/>
      <sz val="8"/>
      <color theme="0"/>
      <name val="Arial"/>
      <family val="2"/>
    </font>
    <font>
      <sz val="8"/>
      <color theme="0"/>
      <name val="Arial"/>
      <family val="2"/>
    </font>
    <font>
      <b/>
      <sz val="9"/>
      <color rgb="FFFF0000"/>
      <name val="Arial"/>
      <family val="2"/>
    </font>
    <font>
      <sz val="9"/>
      <name val="Arial"/>
      <family val="2"/>
    </font>
    <font>
      <sz val="8.5"/>
      <name val="Arial"/>
      <family val="2"/>
    </font>
    <font>
      <b/>
      <sz val="11"/>
      <name val="Arial"/>
      <family val="2"/>
    </font>
    <font>
      <b/>
      <sz val="11"/>
      <color indexed="10"/>
      <name val="Arial"/>
      <family val="2"/>
    </font>
    <font>
      <sz val="8.5"/>
      <name val="MS Sans Serif"/>
      <family val="2"/>
    </font>
    <font>
      <u/>
      <sz val="10"/>
      <color indexed="30"/>
      <name val="Arial"/>
      <family val="2"/>
    </font>
    <font>
      <b/>
      <sz val="7.5"/>
      <color rgb="FFFFFFFF"/>
      <name val="Arial"/>
      <family val="2"/>
    </font>
    <font>
      <sz val="8"/>
      <color indexed="8"/>
      <name val="Arial"/>
      <family val="2"/>
    </font>
    <font>
      <b/>
      <sz val="18"/>
      <color indexed="56"/>
      <name val="Cambria"/>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u/>
      <sz val="10"/>
      <color theme="10"/>
      <name val="Arial"/>
      <family val="2"/>
    </font>
    <font>
      <sz val="10"/>
      <color theme="0"/>
      <name val="Arial"/>
      <family val="2"/>
    </font>
    <font>
      <b/>
      <sz val="9"/>
      <name val="Arial"/>
      <family val="2"/>
    </font>
    <font>
      <b/>
      <i/>
      <sz val="8"/>
      <color indexed="9"/>
      <name val="Arial"/>
      <family val="2"/>
    </font>
    <font>
      <i/>
      <sz val="8"/>
      <color theme="0"/>
      <name val="Arial"/>
      <family val="2"/>
    </font>
    <font>
      <i/>
      <sz val="10"/>
      <name val="MS Sans Serif"/>
      <family val="2"/>
    </font>
    <font>
      <sz val="11"/>
      <name val="Arial"/>
      <family val="2"/>
    </font>
    <font>
      <sz val="12"/>
      <color rgb="FF000000"/>
      <name val="Arial"/>
      <family val="2"/>
    </font>
    <font>
      <i/>
      <sz val="8.5"/>
      <name val="Arial"/>
      <family val="2"/>
    </font>
    <font>
      <sz val="11"/>
      <color theme="1"/>
      <name val="Calibri Light"/>
      <family val="2"/>
    </font>
    <font>
      <u/>
      <sz val="11"/>
      <color theme="10"/>
      <name val="Calibri Light"/>
      <family val="2"/>
    </font>
    <font>
      <i/>
      <sz val="9"/>
      <name val="Arial"/>
      <family val="2"/>
    </font>
    <font>
      <b/>
      <sz val="11"/>
      <color theme="1"/>
      <name val="Calibri"/>
      <family val="2"/>
      <scheme val="minor"/>
    </font>
    <font>
      <b/>
      <sz val="12"/>
      <color theme="1"/>
      <name val="Calibri"/>
      <family val="2"/>
      <scheme val="minor"/>
    </font>
    <font>
      <sz val="11"/>
      <color rgb="FF000000"/>
      <name val="Calibri"/>
      <family val="2"/>
      <scheme val="minor"/>
    </font>
    <font>
      <b/>
      <sz val="11"/>
      <name val="Calibri"/>
      <family val="2"/>
    </font>
    <font>
      <b/>
      <sz val="12"/>
      <color rgb="FF000000"/>
      <name val="Calibri"/>
      <family val="2"/>
    </font>
    <font>
      <b/>
      <sz val="12"/>
      <color theme="1"/>
      <name val="Calibri"/>
      <family val="2"/>
    </font>
    <font>
      <b/>
      <sz val="11"/>
      <color rgb="FF000000"/>
      <name val="Calibri"/>
      <family val="2"/>
      <scheme val="minor"/>
    </font>
    <font>
      <b/>
      <sz val="8"/>
      <color theme="3" tint="-0.249977111117893"/>
      <name val="Arial"/>
      <family val="2"/>
    </font>
    <font>
      <u/>
      <sz val="9"/>
      <color theme="10"/>
      <name val="Arial"/>
      <family val="2"/>
    </font>
  </fonts>
  <fills count="31">
    <fill>
      <patternFill patternType="none"/>
    </fill>
    <fill>
      <patternFill patternType="gray125"/>
    </fill>
    <fill>
      <patternFill patternType="solid">
        <fgColor indexed="44"/>
        <bgColor indexed="64"/>
      </patternFill>
    </fill>
    <fill>
      <patternFill patternType="solid">
        <fgColor theme="3" tint="-0.249977111117893"/>
        <bgColor indexed="64"/>
      </patternFill>
    </fill>
    <fill>
      <patternFill patternType="solid">
        <fgColor theme="0"/>
        <bgColor indexed="64"/>
      </patternFill>
    </fill>
    <fill>
      <patternFill patternType="solid">
        <fgColor rgb="FF3333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5"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bottom style="thin">
        <color indexed="64"/>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9"/>
      </left>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diagonal/>
    </border>
    <border>
      <left/>
      <right style="thin">
        <color indexed="9"/>
      </right>
      <top style="thin">
        <color theme="3" tint="-0.249977111117893"/>
      </top>
      <bottom/>
      <diagonal/>
    </border>
    <border>
      <left style="thin">
        <color theme="3" tint="-0.249977111117893"/>
      </left>
      <right/>
      <top/>
      <bottom/>
      <diagonal/>
    </border>
    <border>
      <left style="thin">
        <color theme="3" tint="-0.249977111117893"/>
      </left>
      <right/>
      <top style="thin">
        <color indexed="64"/>
      </top>
      <bottom/>
      <diagonal/>
    </border>
    <border>
      <left style="thin">
        <color theme="3" tint="-0.249977111117893"/>
      </left>
      <right/>
      <top/>
      <bottom style="thin">
        <color theme="3" tint="-0.249977111117893"/>
      </bottom>
      <diagonal/>
    </border>
    <border>
      <left style="thin">
        <color indexed="9"/>
      </left>
      <right style="thin">
        <color indexed="9"/>
      </right>
      <top/>
      <bottom style="thin">
        <color theme="3" tint="-0.249977111117893"/>
      </bottom>
      <diagonal/>
    </border>
    <border>
      <left/>
      <right style="thin">
        <color indexed="9"/>
      </right>
      <top/>
      <bottom style="thin">
        <color theme="0"/>
      </bottom>
      <diagonal/>
    </border>
    <border>
      <left style="thin">
        <color theme="0"/>
      </left>
      <right/>
      <top/>
      <bottom/>
      <diagonal/>
    </border>
    <border>
      <left/>
      <right style="thin">
        <color theme="0"/>
      </right>
      <top/>
      <bottom style="medium">
        <color rgb="FF0000FF"/>
      </bottom>
      <diagonal/>
    </border>
    <border>
      <left style="medium">
        <color rgb="FFFFFFFF"/>
      </left>
      <right style="medium">
        <color rgb="FFFFFFFF"/>
      </right>
      <top style="medium">
        <color rgb="FFFFFFFF"/>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right style="thin">
        <color theme="0"/>
      </right>
      <top/>
      <bottom style="medium">
        <color indexed="9"/>
      </bottom>
      <diagonal/>
    </border>
    <border>
      <left style="thin">
        <color indexed="9"/>
      </left>
      <right style="thin">
        <color indexed="9"/>
      </right>
      <top style="thin">
        <color theme="3" tint="-0.249977111117893"/>
      </top>
      <bottom/>
      <diagonal/>
    </border>
    <border>
      <left style="thin">
        <color indexed="9"/>
      </left>
      <right style="thin">
        <color indexed="9"/>
      </right>
      <top/>
      <bottom style="thin">
        <color theme="0"/>
      </bottom>
      <diagonal/>
    </border>
    <border>
      <left style="thin">
        <color indexed="64"/>
      </left>
      <right/>
      <top/>
      <bottom/>
      <diagonal/>
    </border>
    <border>
      <left style="thin">
        <color indexed="64"/>
      </left>
      <right/>
      <top style="thin">
        <color indexed="64"/>
      </top>
      <bottom/>
      <diagonal/>
    </border>
    <border>
      <left/>
      <right style="thin">
        <color indexed="9"/>
      </right>
      <top/>
      <bottom/>
      <diagonal/>
    </border>
    <border>
      <left/>
      <right style="thin">
        <color indexed="9"/>
      </right>
      <top/>
      <bottom style="thin">
        <color theme="3" tint="-0.249977111117893"/>
      </bottom>
      <diagonal/>
    </border>
    <border>
      <left/>
      <right style="thick">
        <color theme="3" tint="-0.249977111117893"/>
      </right>
      <top/>
      <bottom/>
      <diagonal/>
    </border>
    <border>
      <left style="thin">
        <color indexed="9"/>
      </left>
      <right style="thick">
        <color theme="3" tint="-0.249977111117893"/>
      </right>
      <top style="thin">
        <color indexed="64"/>
      </top>
      <bottom/>
      <diagonal/>
    </border>
    <border>
      <left style="thin">
        <color indexed="9"/>
      </left>
      <right style="thick">
        <color theme="3" tint="-0.249977111117893"/>
      </right>
      <top/>
      <bottom/>
      <diagonal/>
    </border>
    <border>
      <left style="thin">
        <color indexed="9"/>
      </left>
      <right style="thick">
        <color theme="3" tint="-0.249977111117893"/>
      </right>
      <top/>
      <bottom style="thin">
        <color theme="3" tint="-0.249977111117893"/>
      </bottom>
      <diagonal/>
    </border>
    <border>
      <left style="thin">
        <color indexed="9"/>
      </left>
      <right style="thick">
        <color theme="3" tint="-0.249977111117893"/>
      </right>
      <top style="thin">
        <color theme="3" tint="-0.249977111117893"/>
      </top>
      <bottom/>
      <diagonal/>
    </border>
    <border>
      <left style="thin">
        <color indexed="9"/>
      </left>
      <right style="thick">
        <color theme="3" tint="-0.249977111117893"/>
      </right>
      <top/>
      <bottom style="thin">
        <color theme="0"/>
      </bottom>
      <diagonal/>
    </border>
    <border>
      <left/>
      <right/>
      <top style="thin">
        <color auto="1"/>
      </top>
      <bottom style="thin">
        <color auto="1"/>
      </bottom>
      <diagonal/>
    </border>
    <border>
      <left/>
      <right/>
      <top style="thin">
        <color auto="1"/>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C1C1C1"/>
      </left>
      <right/>
      <top/>
      <bottom/>
      <diagonal/>
    </border>
    <border>
      <left/>
      <right style="medium">
        <color indexed="64"/>
      </right>
      <top style="thin">
        <color indexed="64"/>
      </top>
      <bottom/>
      <diagonal/>
    </border>
    <border>
      <left style="thin">
        <color theme="0"/>
      </left>
      <right style="thin">
        <color theme="0"/>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theme="3" tint="-0.249977111117893"/>
      </left>
      <right/>
      <top/>
      <bottom style="thin">
        <color indexed="64"/>
      </bottom>
      <diagonal/>
    </border>
    <border>
      <left/>
      <right style="thick">
        <color theme="3" tint="-0.249977111117893"/>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3">
    <xf numFmtId="0" fontId="0" fillId="0" borderId="0"/>
    <xf numFmtId="0" fontId="17" fillId="0" borderId="0" applyNumberFormat="0" applyFill="0" applyBorder="0" applyAlignment="0" applyProtection="0">
      <alignment vertical="top"/>
      <protection locked="0"/>
    </xf>
    <xf numFmtId="0" fontId="27" fillId="0" borderId="0" applyNumberFormat="0" applyFill="0" applyBorder="0" applyAlignment="0" applyProtection="0"/>
    <xf numFmtId="0" fontId="25"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164" fontId="10" fillId="0" borderId="0" applyFont="0" applyFill="0" applyBorder="0" applyAlignment="0" applyProtection="0"/>
    <xf numFmtId="0" fontId="10" fillId="0" borderId="0"/>
    <xf numFmtId="0" fontId="26" fillId="0" borderId="0"/>
    <xf numFmtId="0" fontId="18" fillId="0" borderId="0"/>
    <xf numFmtId="0" fontId="24" fillId="0" borderId="0" applyFill="0" applyProtection="0"/>
    <xf numFmtId="0" fontId="18" fillId="0" borderId="0"/>
    <xf numFmtId="0" fontId="18" fillId="0" borderId="0"/>
    <xf numFmtId="0" fontId="18" fillId="0" borderId="0"/>
    <xf numFmtId="9" fontId="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0" fontId="7" fillId="0" borderId="0"/>
    <xf numFmtId="0" fontId="6" fillId="0" borderId="0"/>
    <xf numFmtId="174" fontId="8" fillId="0" borderId="0" applyFont="0" applyFill="0" applyBorder="0" applyAlignment="0" applyProtection="0"/>
    <xf numFmtId="0" fontId="1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0" fontId="8" fillId="0" borderId="0"/>
    <xf numFmtId="0" fontId="8" fillId="0" borderId="0"/>
    <xf numFmtId="0" fontId="18" fillId="0" borderId="0"/>
    <xf numFmtId="0" fontId="8" fillId="0" borderId="0"/>
    <xf numFmtId="0" fontId="8" fillId="0" borderId="0"/>
    <xf numFmtId="0" fontId="6" fillId="0" borderId="0"/>
    <xf numFmtId="0" fontId="6" fillId="0" borderId="0"/>
    <xf numFmtId="0" fontId="8" fillId="0" borderId="0"/>
    <xf numFmtId="0" fontId="8" fillId="0" borderId="0"/>
    <xf numFmtId="0" fontId="18" fillId="0" borderId="0"/>
    <xf numFmtId="0" fontId="8" fillId="0" borderId="0"/>
    <xf numFmtId="0" fontId="8" fillId="0" borderId="0"/>
    <xf numFmtId="9" fontId="1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43" fillId="16"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4" fillId="7" borderId="0" applyNumberFormat="0" applyBorder="0" applyAlignment="0" applyProtection="0"/>
    <xf numFmtId="0" fontId="14" fillId="20" borderId="39"/>
    <xf numFmtId="0" fontId="45" fillId="21" borderId="40" applyNumberFormat="0" applyAlignment="0" applyProtection="0"/>
    <xf numFmtId="0" fontId="14" fillId="0" borderId="1"/>
    <xf numFmtId="0" fontId="22" fillId="22" borderId="42" applyNumberFormat="0" applyAlignment="0" applyProtection="0"/>
    <xf numFmtId="0" fontId="46" fillId="23" borderId="0">
      <alignment horizontal="center"/>
    </xf>
    <xf numFmtId="0" fontId="47" fillId="23" borderId="0">
      <alignment horizontal="center" vertical="center"/>
    </xf>
    <xf numFmtId="0" fontId="8" fillId="24" borderId="0">
      <alignment horizontal="center" wrapText="1"/>
    </xf>
    <xf numFmtId="0" fontId="48" fillId="23" borderId="0">
      <alignment horizontal="center"/>
    </xf>
    <xf numFmtId="175" fontId="49" fillId="0" borderId="0" applyFont="0" applyFill="0" applyBorder="0" applyAlignment="0" applyProtection="0"/>
    <xf numFmtId="176" fontId="8" fillId="0" borderId="0" applyFont="0" applyFill="0" applyBorder="0" applyAlignment="0" applyProtection="0"/>
    <xf numFmtId="176" fontId="49" fillId="0" borderId="0" applyFont="0" applyFill="0" applyBorder="0" applyAlignment="0" applyProtection="0"/>
    <xf numFmtId="177" fontId="49" fillId="0" borderId="0" applyFont="0" applyFill="0" applyBorder="0" applyAlignment="0" applyProtection="0"/>
    <xf numFmtId="178" fontId="49" fillId="0" borderId="0" applyFont="0" applyFill="0" applyBorder="0" applyAlignment="0" applyProtection="0"/>
    <xf numFmtId="0" fontId="50" fillId="26" borderId="39" applyBorder="0">
      <protection locked="0"/>
    </xf>
    <xf numFmtId="0" fontId="51" fillId="0" borderId="0" applyNumberFormat="0" applyFill="0" applyBorder="0" applyAlignment="0" applyProtection="0"/>
    <xf numFmtId="0" fontId="41" fillId="23" borderId="1">
      <alignment horizontal="left"/>
    </xf>
    <xf numFmtId="0" fontId="52" fillId="23" borderId="0">
      <alignment horizontal="left"/>
    </xf>
    <xf numFmtId="0" fontId="53" fillId="8" borderId="0" applyNumberFormat="0" applyBorder="0" applyAlignment="0" applyProtection="0"/>
    <xf numFmtId="0" fontId="54" fillId="27" borderId="0">
      <alignment horizontal="right" vertical="top" textRotation="90" wrapText="1"/>
    </xf>
    <xf numFmtId="0" fontId="55" fillId="0" borderId="44" applyNumberFormat="0" applyFill="0" applyAlignment="0" applyProtection="0"/>
    <xf numFmtId="0" fontId="56" fillId="0" borderId="45" applyNumberFormat="0" applyFill="0" applyAlignment="0" applyProtection="0"/>
    <xf numFmtId="0" fontId="57" fillId="0" borderId="46"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11" borderId="40" applyNumberFormat="0" applyAlignment="0" applyProtection="0"/>
    <xf numFmtId="0" fontId="9" fillId="24" borderId="0">
      <alignment horizontal="center"/>
    </xf>
    <xf numFmtId="0" fontId="14" fillId="23" borderId="8">
      <alignment wrapText="1"/>
    </xf>
    <xf numFmtId="0" fontId="60" fillId="23" borderId="2"/>
    <xf numFmtId="0" fontId="60" fillId="23" borderId="5"/>
    <xf numFmtId="0" fontId="14" fillId="23" borderId="47">
      <alignment horizontal="center" wrapText="1"/>
    </xf>
    <xf numFmtId="0" fontId="27" fillId="0" borderId="0" applyNumberFormat="0" applyFill="0" applyBorder="0" applyAlignment="0" applyProtection="0"/>
    <xf numFmtId="0" fontId="69" fillId="0" borderId="0" applyNumberFormat="0" applyFill="0" applyBorder="0" applyAlignment="0" applyProtection="0"/>
    <xf numFmtId="0" fontId="61" fillId="0" borderId="41" applyNumberFormat="0" applyFill="0" applyAlignment="0" applyProtection="0"/>
    <xf numFmtId="0" fontId="8" fillId="0" borderId="0" applyFont="0" applyFill="0" applyBorder="0" applyAlignment="0" applyProtection="0"/>
    <xf numFmtId="0" fontId="62" fillId="28" borderId="0" applyNumberFormat="0" applyBorder="0" applyAlignment="0" applyProtection="0"/>
    <xf numFmtId="0" fontId="63" fillId="0" borderId="0"/>
    <xf numFmtId="0" fontId="24" fillId="0" borderId="0" applyFill="0" applyProtection="0"/>
    <xf numFmtId="0" fontId="21" fillId="0" borderId="0"/>
    <xf numFmtId="0" fontId="8" fillId="0" borderId="0"/>
    <xf numFmtId="0" fontId="5" fillId="0" borderId="0"/>
    <xf numFmtId="0" fontId="21" fillId="0" borderId="0"/>
    <xf numFmtId="0" fontId="8" fillId="25" borderId="43" applyNumberFormat="0" applyFont="0" applyAlignment="0" applyProtection="0"/>
    <xf numFmtId="0" fontId="64" fillId="21" borderId="48"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Font="0" applyFill="0" applyBorder="0" applyAlignment="0" applyProtection="0"/>
    <xf numFmtId="9" fontId="8" fillId="0" borderId="0" applyNumberFormat="0" applyFont="0" applyFill="0" applyBorder="0" applyAlignment="0" applyProtection="0"/>
    <xf numFmtId="0" fontId="14" fillId="23" borderId="1"/>
    <xf numFmtId="0" fontId="47" fillId="23" borderId="0">
      <alignment horizontal="right"/>
    </xf>
    <xf numFmtId="0" fontId="65" fillId="29" borderId="0">
      <alignment horizontal="center"/>
    </xf>
    <xf numFmtId="0" fontId="66" fillId="24" borderId="0"/>
    <xf numFmtId="0" fontId="67" fillId="27" borderId="49">
      <alignment horizontal="left" vertical="top" wrapText="1"/>
    </xf>
    <xf numFmtId="0" fontId="67" fillId="27" borderId="23">
      <alignment horizontal="left" vertical="top"/>
    </xf>
    <xf numFmtId="37" fontId="68" fillId="0" borderId="0"/>
    <xf numFmtId="0" fontId="46" fillId="23" borderId="0">
      <alignment horizontal="center"/>
    </xf>
    <xf numFmtId="0" fontId="42" fillId="0" borderId="0" applyNumberFormat="0" applyFill="0" applyBorder="0" applyAlignment="0" applyProtection="0"/>
    <xf numFmtId="0" fontId="13" fillId="23" borderId="0"/>
    <xf numFmtId="0" fontId="11" fillId="0" borderId="0" applyNumberFormat="0" applyFill="0" applyBorder="0" applyAlignment="0" applyProtection="0"/>
    <xf numFmtId="0" fontId="27" fillId="0" borderId="0" applyNumberFormat="0" applyFill="0" applyBorder="0" applyAlignment="0" applyProtection="0"/>
    <xf numFmtId="0" fontId="8" fillId="0" borderId="0"/>
    <xf numFmtId="0" fontId="5" fillId="0" borderId="0"/>
    <xf numFmtId="0" fontId="8" fillId="0" borderId="0"/>
    <xf numFmtId="164" fontId="8" fillId="0" borderId="0" applyFont="0" applyFill="0" applyBorder="0" applyAlignment="0" applyProtection="0"/>
    <xf numFmtId="0" fontId="8" fillId="0" borderId="0"/>
    <xf numFmtId="0" fontId="5" fillId="0" borderId="0"/>
    <xf numFmtId="0" fontId="18" fillId="0" borderId="0"/>
    <xf numFmtId="0" fontId="24" fillId="0" borderId="0" applyFill="0" applyProtection="0"/>
    <xf numFmtId="0" fontId="18" fillId="0" borderId="0"/>
    <xf numFmtId="9" fontId="8" fillId="0" borderId="0" applyFont="0" applyFill="0" applyBorder="0" applyAlignment="0" applyProtection="0"/>
    <xf numFmtId="9" fontId="18" fillId="0" borderId="0" applyFont="0" applyFill="0" applyBorder="0" applyAlignment="0" applyProtection="0"/>
    <xf numFmtId="0" fontId="5" fillId="0" borderId="0"/>
    <xf numFmtId="0" fontId="5" fillId="0" borderId="0"/>
    <xf numFmtId="0" fontId="5" fillId="0" borderId="0"/>
    <xf numFmtId="0" fontId="5" fillId="0" borderId="0"/>
    <xf numFmtId="0" fontId="18" fillId="0" borderId="0"/>
    <xf numFmtId="0" fontId="8" fillId="24" borderId="0">
      <alignment horizontal="center" wrapText="1"/>
    </xf>
    <xf numFmtId="176" fontId="8" fillId="0" borderId="0" applyFont="0" applyFill="0" applyBorder="0" applyAlignment="0" applyProtection="0"/>
    <xf numFmtId="0" fontId="8" fillId="25" borderId="43" applyNumberFormat="0" applyFont="0" applyAlignment="0" applyProtection="0"/>
    <xf numFmtId="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0" fontId="4" fillId="0" borderId="0"/>
    <xf numFmtId="0" fontId="69" fillId="0" borderId="0" applyNumberForma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0" fontId="78" fillId="0" borderId="0"/>
    <xf numFmtId="0" fontId="2" fillId="0" borderId="0"/>
    <xf numFmtId="9" fontId="2" fillId="0" borderId="0" applyFont="0" applyFill="0" applyBorder="0" applyAlignment="0" applyProtection="0"/>
    <xf numFmtId="0" fontId="78" fillId="0" borderId="0"/>
    <xf numFmtId="9" fontId="78" fillId="0" borderId="0" applyFont="0" applyFill="0" applyBorder="0" applyAlignment="0" applyProtection="0"/>
    <xf numFmtId="9" fontId="78" fillId="0" borderId="0" applyFont="0" applyFill="0" applyBorder="0" applyAlignment="0" applyProtection="0"/>
    <xf numFmtId="0" fontId="79" fillId="0" borderId="0" applyNumberFormat="0" applyFill="0" applyBorder="0" applyAlignment="0" applyProtection="0"/>
    <xf numFmtId="0" fontId="2" fillId="0" borderId="0"/>
    <xf numFmtId="0" fontId="2" fillId="0" borderId="0"/>
  </cellStyleXfs>
  <cellXfs count="439">
    <xf numFmtId="0" fontId="0" fillId="0" borderId="0" xfId="0"/>
    <xf numFmtId="0" fontId="0" fillId="0" borderId="0" xfId="0" applyFill="1" applyBorder="1"/>
    <xf numFmtId="0" fontId="0" fillId="0" borderId="0" xfId="0" applyFill="1" applyBorder="1" applyAlignment="1">
      <alignment horizontal="center"/>
    </xf>
    <xf numFmtId="0" fontId="14" fillId="0" borderId="0" xfId="0" applyFont="1"/>
    <xf numFmtId="165" fontId="0" fillId="0" borderId="1" xfId="0" applyNumberFormat="1" applyBorder="1"/>
    <xf numFmtId="0" fontId="9" fillId="0" borderId="0" xfId="7" applyFont="1" applyFill="1"/>
    <xf numFmtId="0" fontId="10" fillId="0" borderId="0" xfId="7" applyFill="1"/>
    <xf numFmtId="0" fontId="10" fillId="0" borderId="0" xfId="7"/>
    <xf numFmtId="0" fontId="9" fillId="0" borderId="0" xfId="7" applyFont="1"/>
    <xf numFmtId="0" fontId="10" fillId="0" borderId="0" xfId="7" applyFont="1"/>
    <xf numFmtId="0" fontId="28" fillId="0" borderId="0" xfId="7" applyFont="1" applyAlignment="1">
      <alignment horizontal="left" vertical="center" readingOrder="1"/>
    </xf>
    <xf numFmtId="0" fontId="12" fillId="0" borderId="0" xfId="7" applyFont="1"/>
    <xf numFmtId="0" fontId="14" fillId="0" borderId="0" xfId="7" applyFont="1" applyFill="1" applyBorder="1" applyProtection="1">
      <protection locked="0"/>
    </xf>
    <xf numFmtId="0" fontId="29" fillId="0" borderId="0" xfId="0" applyFont="1" applyAlignment="1">
      <alignment horizontal="left" vertical="center" readingOrder="1"/>
    </xf>
    <xf numFmtId="3" fontId="22" fillId="3" borderId="3" xfId="13" applyNumberFormat="1" applyFont="1" applyFill="1" applyBorder="1" applyAlignment="1">
      <alignment horizontal="center" wrapText="1"/>
    </xf>
    <xf numFmtId="0" fontId="30" fillId="3" borderId="3" xfId="13" applyFont="1" applyFill="1" applyBorder="1" applyAlignment="1" applyProtection="1">
      <alignment horizontal="center" wrapText="1"/>
      <protection locked="0"/>
    </xf>
    <xf numFmtId="169" fontId="14" fillId="0" borderId="0" xfId="7" applyNumberFormat="1" applyFont="1" applyFill="1" applyBorder="1" applyProtection="1">
      <protection locked="0"/>
    </xf>
    <xf numFmtId="0" fontId="14" fillId="0" borderId="0" xfId="7" applyFont="1" applyFill="1" applyBorder="1" applyAlignment="1">
      <alignment wrapText="1"/>
    </xf>
    <xf numFmtId="0" fontId="10" fillId="0" borderId="0" xfId="7" applyFont="1" applyFill="1" applyAlignment="1">
      <alignment vertical="center"/>
    </xf>
    <xf numFmtId="0" fontId="10" fillId="0" borderId="0" xfId="7" applyFont="1" applyAlignment="1">
      <alignment vertical="center"/>
    </xf>
    <xf numFmtId="0" fontId="9" fillId="0" borderId="0" xfId="0" applyFont="1"/>
    <xf numFmtId="171" fontId="0" fillId="0" borderId="0" xfId="0" applyNumberFormat="1" applyFill="1" applyBorder="1"/>
    <xf numFmtId="0" fontId="14" fillId="0" borderId="0" xfId="12" applyFont="1"/>
    <xf numFmtId="0" fontId="12" fillId="0" borderId="0" xfId="12" applyFont="1" applyFill="1"/>
    <xf numFmtId="0" fontId="14" fillId="0" borderId="0" xfId="12" applyFont="1" applyFill="1"/>
    <xf numFmtId="0" fontId="12" fillId="0" borderId="0" xfId="12" applyFont="1"/>
    <xf numFmtId="0" fontId="18" fillId="0" borderId="0" xfId="12" applyFill="1"/>
    <xf numFmtId="0" fontId="18" fillId="0" borderId="0" xfId="12"/>
    <xf numFmtId="0" fontId="14" fillId="0" borderId="0" xfId="11" applyFont="1" applyAlignment="1"/>
    <xf numFmtId="0" fontId="14" fillId="0" borderId="0" xfId="11" applyFont="1"/>
    <xf numFmtId="0" fontId="13" fillId="0" borderId="0" xfId="11" applyFont="1"/>
    <xf numFmtId="0" fontId="18" fillId="0" borderId="0" xfId="11"/>
    <xf numFmtId="0" fontId="33" fillId="0" borderId="0" xfId="11" applyFont="1" applyAlignment="1"/>
    <xf numFmtId="172" fontId="0" fillId="0" borderId="0" xfId="0" applyNumberFormat="1" applyFill="1" applyBorder="1"/>
    <xf numFmtId="1" fontId="14" fillId="0" borderId="0" xfId="11" applyNumberFormat="1" applyFont="1"/>
    <xf numFmtId="0" fontId="36" fillId="0" borderId="0" xfId="0" applyFont="1" applyFill="1" applyBorder="1"/>
    <xf numFmtId="0" fontId="38" fillId="0" borderId="0" xfId="12" applyFont="1" applyAlignment="1">
      <alignment horizontal="left" vertical="center" wrapText="1"/>
    </xf>
    <xf numFmtId="0" fontId="35" fillId="0" borderId="0" xfId="12" applyFont="1" applyAlignment="1">
      <alignment horizontal="left" vertical="center" wrapText="1"/>
    </xf>
    <xf numFmtId="0" fontId="35" fillId="0" borderId="0" xfId="12" applyFont="1" applyFill="1" applyAlignment="1">
      <alignment horizontal="left" vertical="center" wrapText="1"/>
    </xf>
    <xf numFmtId="0" fontId="10" fillId="4" borderId="0" xfId="7" applyFill="1"/>
    <xf numFmtId="165" fontId="9" fillId="0" borderId="21" xfId="4" applyNumberFormat="1" applyFont="1" applyFill="1" applyBorder="1" applyAlignment="1">
      <alignment horizontal="center" vertical="center"/>
    </xf>
    <xf numFmtId="165" fontId="20" fillId="0" borderId="4" xfId="4" applyNumberFormat="1" applyFont="1" applyFill="1" applyBorder="1" applyAlignment="1">
      <alignment horizontal="center" vertical="center"/>
    </xf>
    <xf numFmtId="165" fontId="20" fillId="0" borderId="34" xfId="4" applyNumberFormat="1" applyFont="1" applyFill="1" applyBorder="1" applyAlignment="1">
      <alignment horizontal="center" vertical="center"/>
    </xf>
    <xf numFmtId="0" fontId="19" fillId="0" borderId="0" xfId="12" applyFont="1" applyBorder="1" applyAlignment="1">
      <alignment horizontal="left" vertical="top"/>
    </xf>
    <xf numFmtId="169" fontId="14" fillId="2" borderId="0" xfId="12" applyNumberFormat="1" applyFont="1" applyFill="1" applyBorder="1" applyAlignment="1" applyProtection="1">
      <alignment horizontal="left" vertical="center"/>
      <protection locked="0"/>
    </xf>
    <xf numFmtId="169" fontId="12" fillId="0" borderId="0" xfId="12" applyNumberFormat="1" applyFont="1" applyFill="1" applyBorder="1" applyAlignment="1" applyProtection="1">
      <alignment horizontal="left" vertical="center"/>
      <protection locked="0"/>
    </xf>
    <xf numFmtId="0" fontId="12" fillId="0" borderId="26" xfId="12" applyFont="1" applyBorder="1" applyAlignment="1" applyProtection="1">
      <alignment horizontal="left"/>
      <protection locked="0"/>
    </xf>
    <xf numFmtId="165" fontId="12" fillId="0" borderId="28" xfId="12" applyNumberFormat="1" applyFont="1" applyFill="1" applyBorder="1" applyProtection="1">
      <protection locked="0"/>
    </xf>
    <xf numFmtId="165" fontId="18" fillId="0" borderId="1" xfId="26" applyNumberFormat="1" applyFont="1" applyFill="1" applyBorder="1"/>
    <xf numFmtId="165" fontId="18" fillId="0" borderId="1" xfId="26" applyNumberFormat="1" applyFill="1" applyBorder="1"/>
    <xf numFmtId="0" fontId="18" fillId="0" borderId="0" xfId="26"/>
    <xf numFmtId="0" fontId="40" fillId="5" borderId="38" xfId="26" applyFont="1" applyFill="1" applyBorder="1" applyAlignment="1">
      <alignment horizontal="center" vertical="center" wrapText="1"/>
    </xf>
    <xf numFmtId="0" fontId="14" fillId="0" borderId="1" xfId="26" applyNumberFormat="1" applyFont="1" applyFill="1" applyBorder="1" applyAlignment="1" applyProtection="1">
      <protection locked="0"/>
    </xf>
    <xf numFmtId="0" fontId="13" fillId="0" borderId="0" xfId="26" applyFont="1" applyAlignment="1">
      <alignment horizontal="center" vertical="center" wrapText="1"/>
    </xf>
    <xf numFmtId="0" fontId="13" fillId="0" borderId="0" xfId="26" applyFont="1" applyAlignment="1">
      <alignment horizontal="left" vertical="center"/>
    </xf>
    <xf numFmtId="0" fontId="19" fillId="0" borderId="0" xfId="12" applyFont="1" applyBorder="1" applyAlignment="1">
      <alignment vertical="top"/>
    </xf>
    <xf numFmtId="0" fontId="18" fillId="0" borderId="0" xfId="26"/>
    <xf numFmtId="3" fontId="14" fillId="0" borderId="0" xfId="11" applyNumberFormat="1" applyFont="1"/>
    <xf numFmtId="0" fontId="14" fillId="0" borderId="29" xfId="11" applyNumberFormat="1" applyFont="1" applyBorder="1" applyAlignment="1">
      <alignment horizontal="right"/>
    </xf>
    <xf numFmtId="167" fontId="14" fillId="0" borderId="25" xfId="11" applyNumberFormat="1" applyFont="1" applyBorder="1"/>
    <xf numFmtId="167" fontId="14" fillId="0" borderId="36" xfId="11" applyNumberFormat="1" applyFont="1" applyBorder="1"/>
    <xf numFmtId="0" fontId="14" fillId="0" borderId="37" xfId="11" applyNumberFormat="1" applyFont="1" applyFill="1" applyBorder="1" applyAlignment="1">
      <alignment horizontal="right"/>
    </xf>
    <xf numFmtId="167" fontId="14" fillId="0" borderId="27" xfId="11" applyNumberFormat="1" applyFont="1" applyFill="1" applyBorder="1"/>
    <xf numFmtId="167" fontId="14" fillId="0" borderId="28" xfId="11" applyNumberFormat="1" applyFont="1" applyFill="1" applyBorder="1"/>
    <xf numFmtId="0" fontId="5" fillId="0" borderId="0" xfId="122"/>
    <xf numFmtId="3" fontId="14" fillId="0" borderId="0" xfId="35" applyNumberFormat="1" applyFont="1" applyFill="1" applyBorder="1" applyAlignment="1">
      <alignment horizontal="right"/>
    </xf>
    <xf numFmtId="3" fontId="12" fillId="0" borderId="0" xfId="35" applyNumberFormat="1" applyFont="1" applyFill="1" applyBorder="1" applyAlignment="1">
      <alignment horizontal="right"/>
    </xf>
    <xf numFmtId="3" fontId="14" fillId="0" borderId="25" xfId="35" applyNumberFormat="1" applyFont="1" applyFill="1" applyBorder="1" applyAlignment="1">
      <alignment horizontal="right"/>
    </xf>
    <xf numFmtId="3" fontId="12" fillId="0" borderId="25" xfId="35" applyNumberFormat="1" applyFont="1" applyFill="1" applyBorder="1" applyAlignment="1">
      <alignment horizontal="right"/>
    </xf>
    <xf numFmtId="3" fontId="14" fillId="0" borderId="0" xfId="122" applyNumberFormat="1" applyFont="1" applyFill="1" applyBorder="1" applyAlignment="1">
      <alignment horizontal="right"/>
    </xf>
    <xf numFmtId="3" fontId="12" fillId="0" borderId="0" xfId="122" applyNumberFormat="1" applyFont="1" applyFill="1" applyBorder="1" applyAlignment="1">
      <alignment horizontal="right"/>
    </xf>
    <xf numFmtId="0" fontId="9" fillId="0" borderId="0" xfId="123" applyFont="1"/>
    <xf numFmtId="0" fontId="20" fillId="0" borderId="0" xfId="0" applyFont="1"/>
    <xf numFmtId="167" fontId="14" fillId="0" borderId="0" xfId="11" applyNumberFormat="1" applyFont="1" applyAlignment="1"/>
    <xf numFmtId="171" fontId="10" fillId="0" borderId="0" xfId="7" applyNumberFormat="1"/>
    <xf numFmtId="0" fontId="69" fillId="0" borderId="0" xfId="144" applyAlignment="1">
      <alignment horizontal="left" vertical="center"/>
    </xf>
    <xf numFmtId="0" fontId="69" fillId="0" borderId="0" xfId="144" applyFill="1" applyBorder="1" applyAlignment="1">
      <alignment horizontal="left" vertical="center"/>
    </xf>
    <xf numFmtId="0" fontId="0" fillId="0" borderId="0" xfId="0" applyAlignment="1">
      <alignment horizontal="left" vertical="center"/>
    </xf>
    <xf numFmtId="0" fontId="69" fillId="0" borderId="0" xfId="144" applyFill="1" applyAlignment="1">
      <alignment horizontal="left" vertical="center"/>
    </xf>
    <xf numFmtId="0" fontId="69" fillId="0" borderId="0" xfId="144" applyBorder="1" applyAlignment="1">
      <alignment horizontal="left" vertical="center"/>
    </xf>
    <xf numFmtId="0" fontId="15" fillId="3" borderId="0" xfId="12" applyFont="1" applyFill="1" applyBorder="1" applyAlignment="1" applyProtection="1">
      <alignment horizontal="left"/>
      <protection locked="0"/>
    </xf>
    <xf numFmtId="165" fontId="15" fillId="3" borderId="50" xfId="35" applyNumberFormat="1" applyFont="1" applyFill="1" applyBorder="1" applyAlignment="1">
      <alignment horizontal="right" wrapText="1"/>
    </xf>
    <xf numFmtId="165" fontId="15" fillId="3" borderId="6" xfId="35" applyNumberFormat="1" applyFont="1" applyFill="1" applyBorder="1" applyAlignment="1">
      <alignment horizontal="right" wrapText="1"/>
    </xf>
    <xf numFmtId="165" fontId="15" fillId="3" borderId="50" xfId="122" applyNumberFormat="1" applyFont="1" applyFill="1" applyBorder="1" applyAlignment="1">
      <alignment horizontal="right" wrapText="1"/>
    </xf>
    <xf numFmtId="0" fontId="31" fillId="3" borderId="29" xfId="11" applyFont="1" applyFill="1" applyBorder="1"/>
    <xf numFmtId="0" fontId="31" fillId="3" borderId="25" xfId="11" applyFont="1" applyFill="1" applyBorder="1" applyAlignment="1">
      <alignment wrapText="1"/>
    </xf>
    <xf numFmtId="0" fontId="31" fillId="3" borderId="36" xfId="11" applyFont="1" applyFill="1" applyBorder="1" applyAlignment="1">
      <alignment wrapText="1"/>
    </xf>
    <xf numFmtId="0" fontId="34" fillId="0" borderId="0" xfId="123" applyFont="1" applyBorder="1"/>
    <xf numFmtId="0" fontId="24" fillId="0" borderId="0" xfId="98" applyFill="1" applyProtection="1"/>
    <xf numFmtId="9" fontId="8" fillId="0" borderId="0" xfId="14" applyNumberFormat="1" applyFont="1" applyFill="1" applyBorder="1" applyAlignment="1"/>
    <xf numFmtId="9" fontId="34" fillId="0" borderId="0" xfId="14" applyFont="1" applyBorder="1"/>
    <xf numFmtId="0" fontId="71" fillId="0" borderId="23" xfId="123" applyFont="1" applyBorder="1"/>
    <xf numFmtId="0" fontId="34" fillId="0" borderId="55" xfId="123" applyFont="1" applyBorder="1"/>
    <xf numFmtId="9" fontId="8" fillId="0" borderId="0" xfId="14" applyFont="1" applyFill="1" applyBorder="1" applyAlignment="1"/>
    <xf numFmtId="0" fontId="34" fillId="0" borderId="55" xfId="123" applyFont="1" applyFill="1" applyBorder="1"/>
    <xf numFmtId="9" fontId="34" fillId="0" borderId="5" xfId="14" applyFont="1" applyBorder="1"/>
    <xf numFmtId="0" fontId="34" fillId="0" borderId="56" xfId="123" applyFont="1" applyBorder="1"/>
    <xf numFmtId="9" fontId="34" fillId="0" borderId="0" xfId="14" applyNumberFormat="1" applyFont="1" applyBorder="1"/>
    <xf numFmtId="0" fontId="34" fillId="0" borderId="24" xfId="123" applyFont="1" applyBorder="1"/>
    <xf numFmtId="9" fontId="34" fillId="0" borderId="5" xfId="14" applyNumberFormat="1" applyFont="1" applyBorder="1"/>
    <xf numFmtId="44" fontId="9" fillId="0" borderId="0" xfId="145" applyNumberFormat="1" applyFont="1" applyFill="1" applyBorder="1" applyAlignment="1"/>
    <xf numFmtId="44" fontId="8" fillId="0" borderId="0" xfId="145" applyNumberFormat="1" applyFill="1" applyBorder="1" applyAlignment="1"/>
    <xf numFmtId="9" fontId="9" fillId="0" borderId="0" xfId="14" applyFont="1" applyFill="1" applyBorder="1" applyAlignment="1"/>
    <xf numFmtId="166" fontId="0" fillId="0" borderId="0" xfId="0" applyNumberFormat="1" applyFill="1"/>
    <xf numFmtId="0" fontId="24" fillId="0" borderId="0" xfId="98" applyFill="1" applyAlignment="1" applyProtection="1">
      <alignment horizontal="left" indent="1"/>
    </xf>
    <xf numFmtId="180" fontId="8" fillId="0" borderId="1" xfId="4" applyNumberFormat="1" applyFont="1" applyFill="1" applyBorder="1" applyAlignment="1">
      <alignment horizontal="center"/>
    </xf>
    <xf numFmtId="3" fontId="22" fillId="3" borderId="1" xfId="13" applyNumberFormat="1" applyFont="1" applyFill="1" applyBorder="1" applyAlignment="1">
      <alignment horizontal="center" wrapText="1"/>
    </xf>
    <xf numFmtId="0" fontId="35" fillId="0" borderId="0" xfId="0" applyFont="1" applyFill="1" applyBorder="1" applyAlignment="1">
      <alignment horizontal="left" vertical="center" wrapText="1"/>
    </xf>
    <xf numFmtId="165" fontId="12" fillId="2" borderId="25" xfId="12" applyNumberFormat="1" applyFont="1" applyFill="1" applyBorder="1" applyAlignment="1" applyProtection="1">
      <alignment horizontal="right" vertical="center"/>
      <protection locked="0"/>
    </xf>
    <xf numFmtId="165" fontId="12" fillId="0" borderId="25" xfId="12" applyNumberFormat="1" applyFont="1" applyFill="1" applyBorder="1" applyAlignment="1" applyProtection="1">
      <alignment horizontal="right" vertical="center"/>
      <protection locked="0"/>
    </xf>
    <xf numFmtId="165" fontId="73" fillId="3" borderId="25" xfId="12" applyNumberFormat="1" applyFont="1" applyFill="1" applyBorder="1" applyAlignment="1" applyProtection="1">
      <alignment horizontal="right" vertical="center"/>
      <protection locked="0"/>
    </xf>
    <xf numFmtId="0" fontId="74" fillId="0" borderId="0" xfId="12" applyFont="1"/>
    <xf numFmtId="167" fontId="14" fillId="2" borderId="25" xfId="12" applyNumberFormat="1" applyFont="1" applyFill="1" applyBorder="1" applyAlignment="1" applyProtection="1">
      <alignment horizontal="right" vertical="center"/>
      <protection locked="0"/>
    </xf>
    <xf numFmtId="167" fontId="14" fillId="0" borderId="25" xfId="12" applyNumberFormat="1" applyFont="1" applyFill="1" applyBorder="1" applyAlignment="1" applyProtection="1">
      <alignment horizontal="right" vertical="center"/>
      <protection locked="0"/>
    </xf>
    <xf numFmtId="167" fontId="8" fillId="0" borderId="25" xfId="12" applyNumberFormat="1" applyFont="1" applyFill="1" applyBorder="1" applyAlignment="1" applyProtection="1">
      <alignment horizontal="right" vertical="center" indent="2"/>
      <protection locked="0"/>
    </xf>
    <xf numFmtId="167" fontId="32" fillId="3" borderId="25" xfId="12" applyNumberFormat="1" applyFont="1" applyFill="1" applyBorder="1" applyAlignment="1" applyProtection="1">
      <alignment horizontal="right" vertical="center"/>
      <protection locked="0"/>
    </xf>
    <xf numFmtId="167" fontId="12" fillId="0" borderId="27" xfId="12" applyNumberFormat="1" applyFont="1" applyFill="1" applyBorder="1" applyProtection="1">
      <protection locked="0"/>
    </xf>
    <xf numFmtId="169" fontId="15" fillId="3" borderId="0" xfId="12" applyNumberFormat="1" applyFont="1" applyFill="1" applyBorder="1" applyAlignment="1" applyProtection="1">
      <alignment horizontal="center" vertical="center"/>
      <protection locked="0"/>
    </xf>
    <xf numFmtId="3" fontId="15" fillId="3" borderId="25" xfId="12" applyNumberFormat="1" applyFont="1" applyFill="1" applyBorder="1" applyAlignment="1">
      <alignment horizontal="center" vertical="center" wrapText="1"/>
    </xf>
    <xf numFmtId="3" fontId="15" fillId="3" borderId="0" xfId="12" applyNumberFormat="1" applyFont="1" applyFill="1" applyBorder="1" applyAlignment="1">
      <alignment horizontal="center" vertical="center" wrapText="1"/>
    </xf>
    <xf numFmtId="3" fontId="72" fillId="3" borderId="0" xfId="12" applyNumberFormat="1" applyFont="1" applyFill="1" applyBorder="1" applyAlignment="1">
      <alignment horizontal="center" vertical="center" wrapText="1"/>
    </xf>
    <xf numFmtId="0" fontId="14" fillId="0" borderId="0" xfId="12" applyFont="1" applyAlignment="1">
      <alignment horizontal="center" vertical="center"/>
    </xf>
    <xf numFmtId="169" fontId="20" fillId="0" borderId="31" xfId="13" applyNumberFormat="1" applyFont="1" applyFill="1" applyBorder="1" applyAlignment="1" applyProtection="1">
      <alignment vertical="center"/>
      <protection locked="0"/>
    </xf>
    <xf numFmtId="170" fontId="20" fillId="0" borderId="0" xfId="4" applyNumberFormat="1" applyFont="1" applyFill="1" applyBorder="1" applyAlignment="1">
      <alignment horizontal="center" vertical="center"/>
    </xf>
    <xf numFmtId="170" fontId="20" fillId="0" borderId="59" xfId="4" applyNumberFormat="1" applyFont="1" applyFill="1" applyBorder="1" applyAlignment="1">
      <alignment horizontal="center" vertical="center"/>
    </xf>
    <xf numFmtId="169" fontId="9" fillId="0" borderId="32" xfId="13" applyNumberFormat="1" applyFont="1" applyBorder="1" applyAlignment="1" applyProtection="1">
      <alignment vertical="center"/>
      <protection locked="0"/>
    </xf>
    <xf numFmtId="170" fontId="9" fillId="0" borderId="21" xfId="4" applyNumberFormat="1" applyFont="1" applyFill="1" applyBorder="1" applyAlignment="1">
      <alignment horizontal="center" vertical="center"/>
    </xf>
    <xf numFmtId="170" fontId="9" fillId="0" borderId="60" xfId="4" applyNumberFormat="1" applyFont="1" applyFill="1" applyBorder="1" applyAlignment="1">
      <alignment horizontal="center" vertical="center"/>
    </xf>
    <xf numFmtId="169" fontId="20" fillId="0" borderId="31" xfId="13" applyNumberFormat="1" applyFont="1" applyBorder="1" applyAlignment="1" applyProtection="1">
      <alignment vertical="center"/>
      <protection locked="0"/>
    </xf>
    <xf numFmtId="170" fontId="20" fillId="0" borderId="4" xfId="4" applyNumberFormat="1" applyFont="1" applyBorder="1" applyAlignment="1">
      <alignment horizontal="center" vertical="center"/>
    </xf>
    <xf numFmtId="170" fontId="20" fillId="0" borderId="61" xfId="4" applyNumberFormat="1" applyFont="1" applyBorder="1" applyAlignment="1">
      <alignment horizontal="center" vertical="center"/>
    </xf>
    <xf numFmtId="170" fontId="20" fillId="0" borderId="57" xfId="4" applyNumberFormat="1" applyFont="1" applyFill="1" applyBorder="1" applyAlignment="1">
      <alignment horizontal="center" vertical="center"/>
    </xf>
    <xf numFmtId="170" fontId="20" fillId="0" borderId="4" xfId="4" applyNumberFormat="1" applyFont="1" applyFill="1" applyBorder="1" applyAlignment="1">
      <alignment horizontal="center" vertical="center"/>
    </xf>
    <xf numFmtId="169" fontId="20" fillId="0" borderId="33" xfId="13" applyNumberFormat="1" applyFont="1" applyBorder="1" applyAlignment="1" applyProtection="1">
      <alignment vertical="center"/>
      <protection locked="0"/>
    </xf>
    <xf numFmtId="170" fontId="20" fillId="0" borderId="34" xfId="4" applyNumberFormat="1" applyFont="1" applyBorder="1" applyAlignment="1">
      <alignment horizontal="center" vertical="center"/>
    </xf>
    <xf numFmtId="170" fontId="20" fillId="0" borderId="62" xfId="4" applyNumberFormat="1" applyFont="1" applyBorder="1" applyAlignment="1">
      <alignment horizontal="center" vertical="center"/>
    </xf>
    <xf numFmtId="170" fontId="20" fillId="0" borderId="58" xfId="4" applyNumberFormat="1" applyFont="1" applyFill="1" applyBorder="1" applyAlignment="1">
      <alignment horizontal="center" vertical="center"/>
    </xf>
    <xf numFmtId="170" fontId="20" fillId="0" borderId="34" xfId="4" applyNumberFormat="1" applyFont="1" applyFill="1" applyBorder="1" applyAlignment="1">
      <alignment horizontal="center" vertical="center"/>
    </xf>
    <xf numFmtId="0" fontId="12" fillId="0" borderId="0" xfId="12" applyFont="1" applyAlignment="1">
      <alignment horizontal="center"/>
    </xf>
    <xf numFmtId="0" fontId="0" fillId="0" borderId="0" xfId="0" applyAlignment="1">
      <alignment horizontal="center"/>
    </xf>
    <xf numFmtId="165" fontId="14" fillId="2" borderId="25" xfId="12" applyNumberFormat="1" applyFont="1" applyFill="1" applyBorder="1" applyAlignment="1" applyProtection="1">
      <alignment horizontal="center" vertical="center"/>
      <protection locked="0"/>
    </xf>
    <xf numFmtId="165" fontId="14" fillId="0" borderId="25" xfId="12" applyNumberFormat="1" applyFont="1" applyFill="1" applyBorder="1" applyAlignment="1" applyProtection="1">
      <alignment horizontal="center" vertical="center"/>
      <protection locked="0"/>
    </xf>
    <xf numFmtId="165" fontId="32" fillId="3" borderId="25" xfId="12" applyNumberFormat="1" applyFont="1" applyFill="1" applyBorder="1" applyAlignment="1" applyProtection="1">
      <alignment horizontal="center" vertical="center"/>
      <protection locked="0"/>
    </xf>
    <xf numFmtId="165" fontId="12" fillId="0" borderId="28" xfId="12" applyNumberFormat="1" applyFont="1" applyFill="1" applyBorder="1" applyAlignment="1" applyProtection="1">
      <alignment horizontal="center"/>
      <protection locked="0"/>
    </xf>
    <xf numFmtId="0" fontId="18" fillId="0" borderId="25" xfId="12" applyBorder="1" applyAlignment="1">
      <alignment horizontal="center"/>
    </xf>
    <xf numFmtId="0" fontId="18" fillId="0" borderId="0" xfId="12" applyBorder="1" applyAlignment="1">
      <alignment horizontal="center"/>
    </xf>
    <xf numFmtId="0" fontId="18" fillId="0" borderId="0" xfId="12" applyAlignment="1">
      <alignment horizontal="center"/>
    </xf>
    <xf numFmtId="0" fontId="35" fillId="0" borderId="0" xfId="0" applyFont="1" applyFill="1" applyBorder="1" applyAlignment="1">
      <alignment vertical="center" wrapText="1"/>
    </xf>
    <xf numFmtId="3" fontId="31" fillId="3" borderId="51" xfId="35" applyNumberFormat="1" applyFont="1" applyFill="1" applyBorder="1" applyAlignment="1">
      <alignment horizontal="right" vertical="center"/>
    </xf>
    <xf numFmtId="3" fontId="31" fillId="3" borderId="7" xfId="35" applyNumberFormat="1" applyFont="1" applyFill="1" applyBorder="1" applyAlignment="1">
      <alignment horizontal="right" vertical="center"/>
    </xf>
    <xf numFmtId="3" fontId="31" fillId="3" borderId="51" xfId="122" applyNumberFormat="1" applyFont="1" applyFill="1" applyBorder="1" applyAlignment="1">
      <alignment horizontal="right" vertical="center"/>
    </xf>
    <xf numFmtId="165" fontId="14" fillId="0" borderId="0" xfId="35" applyNumberFormat="1" applyFont="1" applyFill="1" applyBorder="1" applyAlignment="1">
      <alignment vertical="center"/>
    </xf>
    <xf numFmtId="165" fontId="12" fillId="0" borderId="0" xfId="35" applyNumberFormat="1" applyFont="1" applyFill="1" applyBorder="1" applyAlignment="1">
      <alignment vertical="center"/>
    </xf>
    <xf numFmtId="167" fontId="12" fillId="0" borderId="25" xfId="35" applyNumberFormat="1" applyFont="1" applyFill="1" applyBorder="1" applyAlignment="1">
      <alignment horizontal="center"/>
    </xf>
    <xf numFmtId="3" fontId="12" fillId="0" borderId="0" xfId="35" applyNumberFormat="1" applyFont="1" applyFill="1" applyBorder="1" applyAlignment="1">
      <alignment horizontal="center"/>
    </xf>
    <xf numFmtId="0" fontId="8" fillId="0" borderId="0" xfId="35" applyAlignment="1">
      <alignment horizontal="center"/>
    </xf>
    <xf numFmtId="0" fontId="5" fillId="0" borderId="0" xfId="122" applyAlignment="1">
      <alignment horizontal="center"/>
    </xf>
    <xf numFmtId="3" fontId="12" fillId="0" borderId="25" xfId="35" applyNumberFormat="1" applyFont="1" applyFill="1" applyBorder="1" applyAlignment="1">
      <alignment horizontal="center"/>
    </xf>
    <xf numFmtId="167" fontId="12" fillId="0" borderId="0" xfId="35" applyNumberFormat="1" applyFont="1" applyFill="1" applyBorder="1" applyAlignment="1">
      <alignment horizontal="center"/>
    </xf>
    <xf numFmtId="167" fontId="12" fillId="0" borderId="0" xfId="122" applyNumberFormat="1" applyFont="1" applyFill="1" applyBorder="1" applyAlignment="1">
      <alignment horizontal="center"/>
    </xf>
    <xf numFmtId="167" fontId="14" fillId="0" borderId="0" xfId="35" applyNumberFormat="1" applyFont="1" applyFill="1" applyBorder="1" applyAlignment="1" applyProtection="1">
      <alignment horizontal="center"/>
      <protection locked="0"/>
    </xf>
    <xf numFmtId="165" fontId="14" fillId="0" borderId="0" xfId="35" applyNumberFormat="1" applyFont="1" applyAlignment="1">
      <alignment horizontal="center"/>
    </xf>
    <xf numFmtId="165" fontId="14" fillId="0" borderId="0" xfId="122" applyNumberFormat="1" applyFont="1" applyAlignment="1">
      <alignment horizontal="center"/>
    </xf>
    <xf numFmtId="167" fontId="14" fillId="0" borderId="26" xfId="35" applyNumberFormat="1" applyFont="1" applyFill="1" applyBorder="1" applyAlignment="1" applyProtection="1">
      <alignment horizontal="center"/>
      <protection locked="0"/>
    </xf>
    <xf numFmtId="165" fontId="14" fillId="0" borderId="26" xfId="35" applyNumberFormat="1" applyFont="1" applyFill="1" applyBorder="1" applyAlignment="1">
      <alignment horizontal="center"/>
    </xf>
    <xf numFmtId="165" fontId="14" fillId="0" borderId="26" xfId="122" applyNumberFormat="1" applyFont="1" applyFill="1" applyBorder="1" applyAlignment="1">
      <alignment horizontal="center"/>
    </xf>
    <xf numFmtId="165" fontId="14" fillId="0" borderId="0" xfId="41" applyNumberFormat="1" applyFont="1" applyFill="1" applyBorder="1" applyAlignment="1" applyProtection="1">
      <alignment horizontal="center" vertical="center"/>
      <protection locked="0"/>
    </xf>
    <xf numFmtId="0" fontId="77" fillId="0" borderId="0" xfId="7" applyFont="1" applyFill="1" applyBorder="1" applyProtection="1">
      <protection locked="0"/>
    </xf>
    <xf numFmtId="0" fontId="19" fillId="0" borderId="0" xfId="0" applyFont="1"/>
    <xf numFmtId="181" fontId="0" fillId="0" borderId="0" xfId="0" applyNumberFormat="1" applyFill="1" applyBorder="1"/>
    <xf numFmtId="165" fontId="9" fillId="0" borderId="0" xfId="0" applyNumberFormat="1" applyFont="1" applyBorder="1" applyAlignment="1">
      <alignment vertical="top" wrapText="1"/>
    </xf>
    <xf numFmtId="0" fontId="8" fillId="0" borderId="0" xfId="28"/>
    <xf numFmtId="0" fontId="8" fillId="0" borderId="0" xfId="28" applyAlignment="1">
      <alignment vertical="center"/>
    </xf>
    <xf numFmtId="0" fontId="8" fillId="0" borderId="0" xfId="28" applyFont="1"/>
    <xf numFmtId="9" fontId="34" fillId="0" borderId="0" xfId="123" applyNumberFormat="1" applyFont="1" applyBorder="1"/>
    <xf numFmtId="49" fontId="14" fillId="0" borderId="1" xfId="26" applyNumberFormat="1" applyFont="1" applyFill="1" applyBorder="1" applyAlignment="1" applyProtection="1">
      <alignment horizontal="center"/>
      <protection locked="0"/>
    </xf>
    <xf numFmtId="49" fontId="0" fillId="0" borderId="1" xfId="0" applyNumberFormat="1" applyBorder="1"/>
    <xf numFmtId="0" fontId="8" fillId="0" borderId="0" xfId="0" applyFont="1" applyAlignment="1">
      <alignment vertical="top" wrapText="1"/>
    </xf>
    <xf numFmtId="0" fontId="8" fillId="0" borderId="0" xfId="7" applyFont="1"/>
    <xf numFmtId="166" fontId="34" fillId="0" borderId="0" xfId="123" applyNumberFormat="1" applyFont="1" applyFill="1" applyBorder="1"/>
    <xf numFmtId="165" fontId="0" fillId="0" borderId="0" xfId="0" applyNumberFormat="1" applyFill="1" applyBorder="1"/>
    <xf numFmtId="165" fontId="10" fillId="0" borderId="0" xfId="7" applyNumberFormat="1" applyFont="1" applyAlignment="1">
      <alignment vertical="center"/>
    </xf>
    <xf numFmtId="165" fontId="10" fillId="0" borderId="0" xfId="7" applyNumberFormat="1" applyFont="1" applyFill="1" applyAlignment="1">
      <alignment vertical="center"/>
    </xf>
    <xf numFmtId="0" fontId="71" fillId="0" borderId="0" xfId="0" applyFont="1"/>
    <xf numFmtId="0" fontId="34" fillId="0" borderId="0" xfId="0" applyFont="1"/>
    <xf numFmtId="166" fontId="34" fillId="0" borderId="0" xfId="0" applyNumberFormat="1" applyFont="1"/>
    <xf numFmtId="0" fontId="82" fillId="0" borderId="0" xfId="0" applyFont="1"/>
    <xf numFmtId="0" fontId="81" fillId="0" borderId="1" xfId="0" applyFont="1" applyBorder="1"/>
    <xf numFmtId="182" fontId="83" fillId="0" borderId="1" xfId="0" applyNumberFormat="1" applyFont="1" applyBorder="1" applyAlignment="1">
      <alignment vertical="top" wrapText="1"/>
    </xf>
    <xf numFmtId="9" fontId="83" fillId="0" borderId="1" xfId="0" applyNumberFormat="1" applyFont="1" applyBorder="1" applyAlignment="1">
      <alignment vertical="top" wrapText="1"/>
    </xf>
    <xf numFmtId="0" fontId="0" fillId="0" borderId="0" xfId="0" applyAlignment="1"/>
    <xf numFmtId="0" fontId="34" fillId="0" borderId="0" xfId="0" applyFont="1" applyFill="1" applyBorder="1"/>
    <xf numFmtId="0" fontId="74" fillId="0" borderId="0" xfId="26" applyFont="1"/>
    <xf numFmtId="0" fontId="20" fillId="0" borderId="0" xfId="26" applyFont="1" applyAlignment="1"/>
    <xf numFmtId="0" fontId="20" fillId="0" borderId="0" xfId="7" applyFont="1"/>
    <xf numFmtId="169" fontId="12" fillId="0" borderId="0" xfId="7" applyNumberFormat="1" applyFont="1" applyFill="1" applyBorder="1" applyProtection="1">
      <protection locked="0"/>
    </xf>
    <xf numFmtId="0" fontId="12" fillId="0" borderId="0" xfId="7" applyFont="1" applyFill="1" applyBorder="1" applyAlignment="1">
      <alignment wrapText="1"/>
    </xf>
    <xf numFmtId="0" fontId="80" fillId="0" borderId="0" xfId="0" applyFont="1"/>
    <xf numFmtId="0" fontId="8" fillId="0" borderId="0" xfId="0" applyFont="1" applyAlignment="1">
      <alignment horizontal="right"/>
    </xf>
    <xf numFmtId="0" fontId="0" fillId="0" borderId="0" xfId="0" applyBorder="1"/>
    <xf numFmtId="0" fontId="0" fillId="0" borderId="0" xfId="0" applyBorder="1" applyAlignment="1"/>
    <xf numFmtId="165" fontId="9" fillId="0" borderId="1" xfId="0" applyNumberFormat="1" applyFont="1" applyBorder="1"/>
    <xf numFmtId="0" fontId="34" fillId="0" borderId="0" xfId="0" applyFont="1" applyFill="1" applyBorder="1" applyAlignment="1">
      <alignment vertical="center"/>
    </xf>
    <xf numFmtId="0" fontId="70" fillId="3" borderId="11" xfId="28" applyFont="1" applyFill="1" applyBorder="1" applyAlignment="1">
      <alignment horizontal="center" vertical="center" wrapText="1"/>
    </xf>
    <xf numFmtId="0" fontId="0" fillId="0" borderId="0" xfId="0" applyFill="1"/>
    <xf numFmtId="9" fontId="83" fillId="0" borderId="0" xfId="0" applyNumberFormat="1" applyFont="1" applyFill="1" applyBorder="1" applyAlignment="1">
      <alignment vertical="top" wrapText="1"/>
    </xf>
    <xf numFmtId="0" fontId="34" fillId="0" borderId="0" xfId="0" applyFont="1" applyFill="1"/>
    <xf numFmtId="0" fontId="0" fillId="0" borderId="0" xfId="0" applyFill="1" applyAlignment="1"/>
    <xf numFmtId="0" fontId="80" fillId="0" borderId="0" xfId="0" applyFont="1" applyFill="1" applyBorder="1" applyAlignment="1">
      <alignment horizontal="left" vertical="center"/>
    </xf>
    <xf numFmtId="0" fontId="0" fillId="0" borderId="0" xfId="0" applyBorder="1" applyAlignment="1">
      <alignment wrapText="1"/>
    </xf>
    <xf numFmtId="0" fontId="0" fillId="0" borderId="0" xfId="0" applyAlignment="1">
      <alignment wrapText="1"/>
    </xf>
    <xf numFmtId="182" fontId="87" fillId="0" borderId="1" xfId="0" applyNumberFormat="1" applyFont="1" applyBorder="1" applyAlignment="1">
      <alignment vertical="top" wrapText="1"/>
    </xf>
    <xf numFmtId="9" fontId="87" fillId="0" borderId="1" xfId="0" applyNumberFormat="1" applyFont="1" applyBorder="1" applyAlignment="1">
      <alignment vertical="top" wrapText="1"/>
    </xf>
    <xf numFmtId="183" fontId="10" fillId="0" borderId="0" xfId="4" applyNumberFormat="1" applyFont="1" applyFill="1" applyBorder="1" applyAlignment="1">
      <alignment horizontal="center" vertical="center"/>
    </xf>
    <xf numFmtId="184" fontId="0" fillId="0" borderId="0" xfId="0" applyNumberFormat="1" applyFill="1" applyBorder="1"/>
    <xf numFmtId="0" fontId="18" fillId="0" borderId="0" xfId="26" applyBorder="1" applyAlignment="1"/>
    <xf numFmtId="0" fontId="14" fillId="0" borderId="0" xfId="26" applyFont="1" applyFill="1" applyAlignment="1">
      <alignment horizontal="center"/>
    </xf>
    <xf numFmtId="0" fontId="14" fillId="0" borderId="0" xfId="0" applyFont="1" applyBorder="1" applyAlignment="1" applyProtection="1">
      <alignment vertical="center"/>
      <protection locked="0"/>
    </xf>
    <xf numFmtId="0" fontId="18" fillId="0" borderId="0" xfId="26" applyAlignment="1"/>
    <xf numFmtId="0" fontId="14" fillId="0" borderId="0" xfId="26" applyFont="1" applyBorder="1" applyAlignment="1">
      <alignment horizontal="left" wrapText="1"/>
    </xf>
    <xf numFmtId="169" fontId="8" fillId="0" borderId="1" xfId="13" applyNumberFormat="1" applyFont="1" applyBorder="1" applyProtection="1">
      <protection locked="0"/>
    </xf>
    <xf numFmtId="10" fontId="34" fillId="0" borderId="0" xfId="123" applyNumberFormat="1" applyFont="1" applyBorder="1"/>
    <xf numFmtId="169" fontId="8" fillId="0" borderId="31" xfId="13" applyNumberFormat="1" applyFont="1" applyFill="1" applyBorder="1" applyAlignment="1" applyProtection="1">
      <alignment vertical="center"/>
      <protection locked="0"/>
    </xf>
    <xf numFmtId="166" fontId="14" fillId="0" borderId="0" xfId="41" applyNumberFormat="1" applyFont="1" applyFill="1" applyBorder="1" applyAlignment="1">
      <alignment vertical="center"/>
    </xf>
    <xf numFmtId="166" fontId="1" fillId="0" borderId="0" xfId="41" applyNumberFormat="1" applyFont="1" applyAlignment="1">
      <alignment vertical="center"/>
    </xf>
    <xf numFmtId="0" fontId="80" fillId="0" borderId="0" xfId="0" applyFont="1" applyFill="1" applyBorder="1" applyAlignment="1">
      <alignment horizontal="left" vertical="center" wrapText="1"/>
    </xf>
    <xf numFmtId="167" fontId="14" fillId="0" borderId="0" xfId="12" applyNumberFormat="1" applyFont="1"/>
    <xf numFmtId="0" fontId="70" fillId="3" borderId="10" xfId="28" applyFont="1" applyFill="1" applyBorder="1" applyAlignment="1">
      <alignment horizontal="center" vertical="center" wrapText="1"/>
    </xf>
    <xf numFmtId="0" fontId="70" fillId="3" borderId="67" xfId="28" applyFont="1" applyFill="1" applyBorder="1" applyAlignment="1">
      <alignment horizontal="center" vertical="center" wrapText="1"/>
    </xf>
    <xf numFmtId="0" fontId="70" fillId="0" borderId="0" xfId="28" applyFont="1" applyFill="1" applyBorder="1" applyAlignment="1">
      <alignment horizontal="center" vertical="center" wrapText="1"/>
    </xf>
    <xf numFmtId="0" fontId="70" fillId="3" borderId="68" xfId="28" applyFont="1" applyFill="1" applyBorder="1" applyAlignment="1">
      <alignment horizontal="center" vertical="center" wrapText="1"/>
    </xf>
    <xf numFmtId="0" fontId="0" fillId="0" borderId="0" xfId="0" applyBorder="1" applyAlignment="1">
      <alignment horizontal="left" wrapText="1"/>
    </xf>
    <xf numFmtId="170" fontId="8" fillId="0" borderId="0" xfId="4" applyNumberFormat="1" applyFont="1" applyFill="1" applyBorder="1" applyAlignment="1">
      <alignment horizontal="center" vertical="center"/>
    </xf>
    <xf numFmtId="0" fontId="70" fillId="3" borderId="15" xfId="28" applyFont="1" applyFill="1" applyBorder="1"/>
    <xf numFmtId="0" fontId="70" fillId="3" borderId="10" xfId="28" applyFont="1" applyFill="1" applyBorder="1"/>
    <xf numFmtId="0" fontId="70" fillId="3" borderId="10" xfId="28" applyFont="1" applyFill="1" applyBorder="1" applyAlignment="1">
      <alignment horizontal="left" vertical="center" wrapText="1"/>
    </xf>
    <xf numFmtId="0" fontId="70" fillId="3" borderId="11" xfId="28" applyFont="1" applyFill="1" applyBorder="1" applyAlignment="1">
      <alignment horizontal="left" vertical="center" wrapText="1"/>
    </xf>
    <xf numFmtId="0" fontId="8" fillId="0" borderId="16" xfId="28" applyBorder="1"/>
    <xf numFmtId="0" fontId="9" fillId="0" borderId="23" xfId="28" applyFont="1" applyBorder="1"/>
    <xf numFmtId="165" fontId="9" fillId="4" borderId="65" xfId="28" applyNumberFormat="1" applyFont="1" applyFill="1" applyBorder="1"/>
    <xf numFmtId="165" fontId="9" fillId="0" borderId="65" xfId="28" applyNumberFormat="1" applyFont="1" applyBorder="1"/>
    <xf numFmtId="165" fontId="9" fillId="0" borderId="14" xfId="28" applyNumberFormat="1" applyFont="1" applyBorder="1"/>
    <xf numFmtId="0" fontId="8" fillId="0" borderId="17" xfId="28" applyBorder="1"/>
    <xf numFmtId="0" fontId="9" fillId="0" borderId="24" xfId="28" applyFont="1" applyBorder="1"/>
    <xf numFmtId="165" fontId="9" fillId="0" borderId="5" xfId="28" applyNumberFormat="1" applyFont="1" applyBorder="1"/>
    <xf numFmtId="165" fontId="9" fillId="0" borderId="12" xfId="28" applyNumberFormat="1" applyFont="1" applyBorder="1"/>
    <xf numFmtId="165" fontId="8" fillId="0" borderId="0" xfId="28" applyNumberFormat="1"/>
    <xf numFmtId="0" fontId="8" fillId="0" borderId="18" xfId="28" applyBorder="1"/>
    <xf numFmtId="0" fontId="9" fillId="0" borderId="0" xfId="28" applyFont="1" applyBorder="1"/>
    <xf numFmtId="165" fontId="8" fillId="0" borderId="0" xfId="0" applyNumberFormat="1" applyFont="1" applyBorder="1" applyAlignment="1">
      <alignment vertical="top" wrapText="1"/>
    </xf>
    <xf numFmtId="165" fontId="9" fillId="0" borderId="0" xfId="28" applyNumberFormat="1" applyFont="1" applyBorder="1"/>
    <xf numFmtId="165" fontId="8" fillId="0" borderId="70" xfId="0" applyNumberFormat="1" applyFont="1" applyBorder="1" applyAlignment="1">
      <alignment vertical="top" wrapText="1"/>
    </xf>
    <xf numFmtId="0" fontId="8" fillId="0" borderId="19" xfId="28" applyBorder="1"/>
    <xf numFmtId="0" fontId="9" fillId="0" borderId="5" xfId="28" applyFont="1" applyBorder="1"/>
    <xf numFmtId="165" fontId="8" fillId="0" borderId="5" xfId="0" applyNumberFormat="1" applyFont="1" applyBorder="1" applyAlignment="1">
      <alignment vertical="top" wrapText="1"/>
    </xf>
    <xf numFmtId="165" fontId="8" fillId="0" borderId="12" xfId="0" applyNumberFormat="1" applyFont="1" applyBorder="1" applyAlignment="1">
      <alignment vertical="top" wrapText="1"/>
    </xf>
    <xf numFmtId="0" fontId="8" fillId="0" borderId="0" xfId="28" applyBorder="1"/>
    <xf numFmtId="165" fontId="8" fillId="0" borderId="0" xfId="28" applyNumberFormat="1" applyBorder="1"/>
    <xf numFmtId="0" fontId="8" fillId="0" borderId="14" xfId="28" applyBorder="1"/>
    <xf numFmtId="0" fontId="8" fillId="4" borderId="66" xfId="28" applyFont="1" applyFill="1" applyBorder="1"/>
    <xf numFmtId="165" fontId="9" fillId="4" borderId="66" xfId="28" applyNumberFormat="1" applyFont="1" applyFill="1" applyBorder="1"/>
    <xf numFmtId="0" fontId="8" fillId="4" borderId="0" xfId="28" applyFill="1" applyBorder="1"/>
    <xf numFmtId="165" fontId="8" fillId="4" borderId="12" xfId="28" applyNumberFormat="1" applyFill="1" applyBorder="1"/>
    <xf numFmtId="165" fontId="9" fillId="4" borderId="0" xfId="28" applyNumberFormat="1" applyFont="1" applyFill="1" applyBorder="1"/>
    <xf numFmtId="165" fontId="8" fillId="4" borderId="0" xfId="28" applyNumberFormat="1" applyFill="1" applyBorder="1"/>
    <xf numFmtId="0" fontId="8" fillId="4" borderId="0" xfId="28" applyFont="1" applyFill="1" applyBorder="1"/>
    <xf numFmtId="0" fontId="8" fillId="4" borderId="5" xfId="28" applyFill="1" applyBorder="1"/>
    <xf numFmtId="165" fontId="9" fillId="4" borderId="5" xfId="28" applyNumberFormat="1" applyFont="1" applyFill="1" applyBorder="1"/>
    <xf numFmtId="0" fontId="9" fillId="4" borderId="19" xfId="28" applyFont="1" applyFill="1" applyBorder="1"/>
    <xf numFmtId="165" fontId="8" fillId="4" borderId="5" xfId="28" applyNumberFormat="1" applyFill="1" applyBorder="1"/>
    <xf numFmtId="165" fontId="8" fillId="4" borderId="14" xfId="28" applyNumberFormat="1" applyFill="1" applyBorder="1"/>
    <xf numFmtId="0" fontId="8" fillId="0" borderId="20" xfId="28" applyBorder="1"/>
    <xf numFmtId="0" fontId="9" fillId="0" borderId="13" xfId="28" applyFont="1" applyBorder="1"/>
    <xf numFmtId="165" fontId="8" fillId="0" borderId="13" xfId="0" applyNumberFormat="1" applyFont="1" applyBorder="1" applyAlignment="1">
      <alignment vertical="top" wrapText="1"/>
    </xf>
    <xf numFmtId="165" fontId="9" fillId="0" borderId="13" xfId="28" applyNumberFormat="1" applyFont="1" applyBorder="1"/>
    <xf numFmtId="0" fontId="14" fillId="0" borderId="0" xfId="28" applyFont="1" applyAlignment="1">
      <alignment horizontal="left"/>
    </xf>
    <xf numFmtId="0" fontId="12" fillId="0" borderId="0" xfId="28" applyFont="1" applyAlignment="1">
      <alignment horizontal="left"/>
    </xf>
    <xf numFmtId="0" fontId="20" fillId="0" borderId="0" xfId="28" applyFont="1"/>
    <xf numFmtId="165" fontId="8" fillId="0" borderId="1" xfId="28" applyNumberFormat="1" applyBorder="1"/>
    <xf numFmtId="0" fontId="8" fillId="0" borderId="0" xfId="28" applyFill="1"/>
    <xf numFmtId="165" fontId="8" fillId="0" borderId="0" xfId="28" applyNumberFormat="1" applyFill="1"/>
    <xf numFmtId="171" fontId="8" fillId="0" borderId="0" xfId="28" applyNumberFormat="1"/>
    <xf numFmtId="173" fontId="8" fillId="0" borderId="0" xfId="28" applyNumberFormat="1"/>
    <xf numFmtId="185" fontId="8" fillId="0" borderId="0" xfId="28" applyNumberFormat="1"/>
    <xf numFmtId="0" fontId="14" fillId="0" borderId="0" xfId="28" applyFont="1" applyFill="1" applyBorder="1" applyProtection="1">
      <protection locked="0"/>
    </xf>
    <xf numFmtId="0" fontId="14" fillId="0" borderId="0" xfId="28" applyFont="1"/>
    <xf numFmtId="169" fontId="20" fillId="0" borderId="0" xfId="13" applyNumberFormat="1" applyFont="1" applyBorder="1" applyAlignment="1" applyProtection="1">
      <alignment vertical="center"/>
      <protection locked="0"/>
    </xf>
    <xf numFmtId="170" fontId="20" fillId="0" borderId="0" xfId="4" applyNumberFormat="1" applyFont="1" applyBorder="1" applyAlignment="1">
      <alignment horizontal="center" vertical="center"/>
    </xf>
    <xf numFmtId="165" fontId="20" fillId="0" borderId="0" xfId="4" applyNumberFormat="1" applyFont="1" applyFill="1" applyBorder="1" applyAlignment="1">
      <alignment horizontal="center" vertical="center"/>
    </xf>
    <xf numFmtId="169" fontId="22" fillId="3" borderId="66" xfId="13" applyNumberFormat="1" applyFont="1" applyFill="1" applyBorder="1" applyAlignment="1" applyProtection="1">
      <alignment horizontal="center"/>
      <protection locked="0"/>
    </xf>
    <xf numFmtId="171" fontId="0" fillId="0" borderId="0" xfId="0" applyNumberFormat="1" applyFill="1" applyBorder="1" applyAlignment="1">
      <alignment horizontal="center"/>
    </xf>
    <xf numFmtId="0" fontId="14" fillId="0" borderId="0" xfId="26" applyNumberFormat="1" applyFont="1" applyFill="1" applyBorder="1" applyAlignment="1" applyProtection="1">
      <alignment horizontal="left" wrapText="1"/>
      <protection locked="0"/>
    </xf>
    <xf numFmtId="0" fontId="9" fillId="0" borderId="69" xfId="0" applyFont="1" applyBorder="1" applyAlignment="1">
      <alignment horizontal="center" vertical="top" wrapText="1"/>
    </xf>
    <xf numFmtId="0" fontId="40" fillId="30" borderId="38" xfId="26" applyFont="1" applyFill="1" applyBorder="1" applyAlignment="1">
      <alignment horizontal="center" vertical="center" wrapText="1"/>
    </xf>
    <xf numFmtId="0" fontId="14" fillId="0" borderId="0" xfId="26" applyNumberFormat="1" applyFont="1" applyFill="1" applyBorder="1" applyAlignment="1" applyProtection="1">
      <alignment horizontal="left"/>
      <protection locked="0"/>
    </xf>
    <xf numFmtId="0" fontId="35" fillId="0" borderId="0" xfId="12" applyFont="1" applyBorder="1" applyAlignment="1" applyProtection="1">
      <alignment horizontal="left" vertical="center" wrapText="1"/>
      <protection locked="0"/>
    </xf>
    <xf numFmtId="0" fontId="19" fillId="0" borderId="0" xfId="12" applyFont="1" applyBorder="1" applyAlignment="1">
      <alignment horizontal="left" vertical="center" wrapText="1"/>
    </xf>
    <xf numFmtId="0" fontId="80" fillId="0" borderId="0" xfId="0" applyFont="1" applyFill="1" applyBorder="1" applyAlignment="1">
      <alignment horizontal="left" vertical="center" wrapText="1"/>
    </xf>
    <xf numFmtId="0" fontId="14" fillId="0" borderId="0" xfId="11" applyNumberFormat="1" applyFont="1" applyFill="1" applyBorder="1" applyAlignment="1">
      <alignment horizontal="right"/>
    </xf>
    <xf numFmtId="167" fontId="14" fillId="0" borderId="29" xfId="11" applyNumberFormat="1" applyFont="1" applyBorder="1"/>
    <xf numFmtId="0" fontId="14" fillId="0" borderId="0" xfId="26" applyFont="1"/>
    <xf numFmtId="0" fontId="13" fillId="0" borderId="0" xfId="26" applyFont="1" applyAlignment="1"/>
    <xf numFmtId="0" fontId="8" fillId="0" borderId="0" xfId="32" applyFont="1" applyFill="1" applyBorder="1" applyProtection="1">
      <protection locked="0"/>
    </xf>
    <xf numFmtId="165" fontId="8" fillId="0" borderId="25" xfId="32" applyNumberFormat="1" applyFont="1" applyBorder="1"/>
    <xf numFmtId="165" fontId="8" fillId="0" borderId="0" xfId="32" applyNumberFormat="1" applyFont="1" applyBorder="1"/>
    <xf numFmtId="169" fontId="8" fillId="0" borderId="0" xfId="32" applyNumberFormat="1" applyFont="1" applyFill="1" applyBorder="1" applyProtection="1">
      <protection locked="0"/>
    </xf>
    <xf numFmtId="168" fontId="8" fillId="0" borderId="0" xfId="32" applyNumberFormat="1" applyFont="1" applyFill="1" applyBorder="1" applyAlignment="1" applyProtection="1">
      <alignment horizontal="left"/>
      <protection locked="0"/>
    </xf>
    <xf numFmtId="0" fontId="8" fillId="0" borderId="13" xfId="32" applyFont="1" applyFill="1" applyBorder="1" applyProtection="1">
      <protection locked="0"/>
    </xf>
    <xf numFmtId="165" fontId="8" fillId="0" borderId="71" xfId="32" applyNumberFormat="1" applyFont="1" applyBorder="1"/>
    <xf numFmtId="165" fontId="8" fillId="0" borderId="13" xfId="32" applyNumberFormat="1" applyFont="1" applyBorder="1"/>
    <xf numFmtId="0" fontId="14" fillId="0" borderId="0" xfId="32" applyFont="1"/>
    <xf numFmtId="165" fontId="5" fillId="0" borderId="0" xfId="122" applyNumberFormat="1"/>
    <xf numFmtId="2" fontId="8" fillId="0" borderId="0" xfId="4" applyNumberFormat="1" applyFont="1" applyFill="1" applyBorder="1" applyAlignment="1">
      <alignment horizontal="center" vertical="center"/>
    </xf>
    <xf numFmtId="170" fontId="8" fillId="0" borderId="59" xfId="4" applyNumberFormat="1" applyFont="1" applyFill="1" applyBorder="1" applyAlignment="1">
      <alignment horizontal="center" vertical="center"/>
    </xf>
    <xf numFmtId="165" fontId="8" fillId="0" borderId="0" xfId="4" applyNumberFormat="1" applyFont="1" applyFill="1" applyBorder="1" applyAlignment="1">
      <alignment horizontal="center" vertical="center"/>
    </xf>
    <xf numFmtId="169" fontId="8" fillId="0" borderId="31" xfId="13" applyNumberFormat="1" applyFont="1" applyFill="1" applyBorder="1" applyAlignment="1" applyProtection="1">
      <alignment vertical="center" wrapText="1"/>
      <protection locked="0"/>
    </xf>
    <xf numFmtId="170" fontId="9" fillId="0" borderId="66" xfId="4" applyNumberFormat="1" applyFont="1" applyFill="1" applyBorder="1" applyAlignment="1">
      <alignment horizontal="center" vertical="center"/>
    </xf>
    <xf numFmtId="165" fontId="14" fillId="2" borderId="25" xfId="12" quotePrefix="1" applyNumberFormat="1" applyFont="1" applyFill="1" applyBorder="1" applyAlignment="1" applyProtection="1">
      <alignment horizontal="center" vertical="center"/>
      <protection locked="0"/>
    </xf>
    <xf numFmtId="165" fontId="14" fillId="0" borderId="25" xfId="12" quotePrefix="1" applyNumberFormat="1" applyFont="1" applyFill="1" applyBorder="1" applyAlignment="1" applyProtection="1">
      <alignment horizontal="center" vertical="center"/>
      <protection locked="0"/>
    </xf>
    <xf numFmtId="0" fontId="36" fillId="0" borderId="0" xfId="28" applyFont="1" applyFill="1"/>
    <xf numFmtId="0" fontId="9" fillId="0" borderId="0" xfId="28" applyFont="1" applyFill="1"/>
    <xf numFmtId="0" fontId="9" fillId="4" borderId="0" xfId="28" applyFont="1" applyFill="1"/>
    <xf numFmtId="0" fontId="30" fillId="3" borderId="1" xfId="28" applyFont="1" applyFill="1" applyBorder="1" applyAlignment="1">
      <alignment horizontal="center" vertical="center" wrapText="1"/>
    </xf>
    <xf numFmtId="0" fontId="8" fillId="0" borderId="2" xfId="28" applyFont="1" applyFill="1" applyBorder="1"/>
    <xf numFmtId="3" fontId="8" fillId="0" borderId="2" xfId="28" applyNumberFormat="1" applyFill="1" applyBorder="1" applyAlignment="1">
      <alignment horizontal="center" vertical="center"/>
    </xf>
    <xf numFmtId="3" fontId="8" fillId="0" borderId="2" xfId="28" applyNumberFormat="1" applyFont="1" applyFill="1" applyBorder="1" applyAlignment="1">
      <alignment horizontal="center" vertical="center"/>
    </xf>
    <xf numFmtId="165" fontId="8" fillId="4" borderId="2" xfId="28" applyNumberFormat="1" applyFont="1" applyFill="1" applyBorder="1" applyAlignment="1" applyProtection="1">
      <alignment horizontal="center" vertical="center"/>
      <protection locked="0"/>
    </xf>
    <xf numFmtId="0" fontId="30" fillId="3" borderId="1" xfId="28" applyFont="1" applyFill="1" applyBorder="1"/>
    <xf numFmtId="3" fontId="70" fillId="3" borderId="1" xfId="28" applyNumberFormat="1" applyFont="1" applyFill="1" applyBorder="1" applyAlignment="1">
      <alignment horizontal="center" vertical="center"/>
    </xf>
    <xf numFmtId="165" fontId="70" fillId="3" borderId="1" xfId="28" applyNumberFormat="1" applyFont="1" applyFill="1" applyBorder="1" applyAlignment="1" applyProtection="1">
      <alignment horizontal="center" vertical="center"/>
      <protection locked="0"/>
    </xf>
    <xf numFmtId="168" fontId="8" fillId="0" borderId="0" xfId="28" quotePrefix="1" applyNumberFormat="1" applyFont="1" applyFill="1" applyBorder="1" applyAlignment="1" applyProtection="1">
      <alignment horizontal="left" vertical="center"/>
      <protection locked="0"/>
    </xf>
    <xf numFmtId="0" fontId="8" fillId="0" borderId="0" xfId="28" applyFont="1" applyFill="1" applyAlignment="1">
      <alignment vertical="center"/>
    </xf>
    <xf numFmtId="0" fontId="8" fillId="4" borderId="0" xfId="28" applyFont="1" applyFill="1" applyAlignment="1">
      <alignment vertical="center"/>
    </xf>
    <xf numFmtId="168" fontId="8" fillId="0" borderId="0" xfId="28" applyNumberFormat="1" applyFont="1" applyFill="1" applyBorder="1" applyAlignment="1" applyProtection="1">
      <alignment horizontal="left" vertical="center"/>
      <protection locked="0"/>
    </xf>
    <xf numFmtId="0" fontId="11" fillId="0" borderId="0" xfId="28" applyFont="1" applyFill="1" applyAlignment="1">
      <alignment vertical="center"/>
    </xf>
    <xf numFmtId="0" fontId="9" fillId="0" borderId="0" xfId="28" applyFont="1"/>
    <xf numFmtId="169" fontId="12" fillId="0" borderId="0" xfId="28" applyNumberFormat="1" applyFont="1" applyFill="1" applyBorder="1" applyProtection="1">
      <protection locked="0"/>
    </xf>
    <xf numFmtId="166" fontId="8" fillId="0" borderId="0" xfId="28" applyNumberFormat="1"/>
    <xf numFmtId="165" fontId="8" fillId="4" borderId="70" xfId="28" applyNumberFormat="1" applyFont="1" applyFill="1" applyBorder="1"/>
    <xf numFmtId="0" fontId="8" fillId="0" borderId="65" xfId="28" applyBorder="1"/>
    <xf numFmtId="165" fontId="9" fillId="0" borderId="0" xfId="28" applyNumberFormat="1" applyFont="1" applyFill="1" applyBorder="1"/>
    <xf numFmtId="165" fontId="8" fillId="0" borderId="0" xfId="28" applyNumberFormat="1" applyFill="1" applyBorder="1"/>
    <xf numFmtId="0" fontId="8" fillId="4" borderId="65" xfId="28" applyFill="1" applyBorder="1"/>
    <xf numFmtId="165" fontId="8" fillId="0" borderId="22" xfId="0" applyNumberFormat="1" applyFont="1" applyBorder="1" applyAlignment="1">
      <alignment vertical="top" wrapText="1"/>
    </xf>
    <xf numFmtId="169" fontId="22" fillId="3" borderId="66" xfId="13" applyNumberFormat="1" applyFont="1" applyFill="1" applyBorder="1" applyAlignment="1" applyProtection="1">
      <alignment horizontal="center" vertical="center"/>
      <protection locked="0"/>
    </xf>
    <xf numFmtId="169" fontId="9" fillId="0" borderId="65" xfId="13" applyNumberFormat="1" applyFont="1" applyBorder="1" applyAlignment="1" applyProtection="1">
      <alignment vertical="center"/>
      <protection locked="0"/>
    </xf>
    <xf numFmtId="166" fontId="9" fillId="0" borderId="9" xfId="39" applyNumberFormat="1" applyFont="1" applyBorder="1" applyAlignment="1">
      <alignment vertical="center"/>
    </xf>
    <xf numFmtId="0" fontId="8" fillId="0" borderId="0" xfId="28" applyFont="1" applyFill="1" applyBorder="1" applyAlignment="1" applyProtection="1">
      <alignment vertical="center"/>
      <protection locked="0"/>
    </xf>
    <xf numFmtId="0" fontId="8" fillId="0" borderId="0" xfId="28" applyFont="1" applyAlignment="1">
      <alignment vertical="center"/>
    </xf>
    <xf numFmtId="0" fontId="34" fillId="0" borderId="65" xfId="123" applyFont="1" applyBorder="1" applyAlignment="1">
      <alignment horizontal="center"/>
    </xf>
    <xf numFmtId="9" fontId="34" fillId="0" borderId="66" xfId="14" applyNumberFormat="1" applyFont="1" applyBorder="1"/>
    <xf numFmtId="0" fontId="8" fillId="0" borderId="0" xfId="28" applyFont="1" applyFill="1" applyBorder="1" applyProtection="1">
      <protection locked="0"/>
    </xf>
    <xf numFmtId="0" fontId="77" fillId="0" borderId="0" xfId="28" applyFont="1" applyFill="1" applyBorder="1" applyProtection="1">
      <protection locked="0"/>
    </xf>
    <xf numFmtId="170" fontId="0" fillId="0" borderId="0" xfId="0" applyNumberFormat="1" applyFill="1" applyBorder="1"/>
    <xf numFmtId="0" fontId="8" fillId="0" borderId="0" xfId="28" applyFont="1" applyFill="1" applyAlignment="1"/>
    <xf numFmtId="180" fontId="8" fillId="0" borderId="0" xfId="28" applyNumberFormat="1" applyFill="1"/>
    <xf numFmtId="0" fontId="35" fillId="0" borderId="0" xfId="0" applyFont="1" applyFill="1" applyBorder="1" applyAlignment="1">
      <alignment horizontal="left" vertical="center" wrapText="1"/>
    </xf>
    <xf numFmtId="0" fontId="14" fillId="0" borderId="0" xfId="26" applyNumberFormat="1" applyFont="1" applyFill="1" applyBorder="1" applyAlignment="1" applyProtection="1">
      <protection locked="0"/>
    </xf>
    <xf numFmtId="0" fontId="34" fillId="0" borderId="0" xfId="0" applyFont="1" applyBorder="1"/>
    <xf numFmtId="165" fontId="24" fillId="0" borderId="5" xfId="98" applyNumberFormat="1" applyFill="1" applyBorder="1" applyAlignment="1" applyProtection="1">
      <alignment horizontal="center"/>
    </xf>
    <xf numFmtId="165" fontId="24" fillId="0" borderId="72" xfId="98" applyNumberFormat="1" applyFill="1" applyBorder="1" applyAlignment="1" applyProtection="1">
      <alignment horizontal="center"/>
    </xf>
    <xf numFmtId="165" fontId="8" fillId="0" borderId="0" xfId="28" applyNumberFormat="1" applyFont="1" applyAlignment="1">
      <alignment vertical="center"/>
    </xf>
    <xf numFmtId="0" fontId="13" fillId="0" borderId="0" xfId="26" applyFont="1" applyBorder="1" applyAlignment="1"/>
    <xf numFmtId="0" fontId="20" fillId="0" borderId="0" xfId="26" applyFont="1" applyBorder="1" applyAlignment="1"/>
    <xf numFmtId="0" fontId="74" fillId="0" borderId="0" xfId="26" applyFont="1" applyBorder="1"/>
    <xf numFmtId="0" fontId="28" fillId="0" borderId="0" xfId="28" applyFont="1" applyAlignment="1">
      <alignment horizontal="left" vertical="center" readingOrder="1"/>
    </xf>
    <xf numFmtId="170" fontId="20" fillId="0" borderId="73" xfId="4" applyNumberFormat="1" applyFont="1" applyFill="1" applyBorder="1" applyAlignment="1">
      <alignment horizontal="center" vertical="center"/>
    </xf>
    <xf numFmtId="170" fontId="8" fillId="0" borderId="73" xfId="4" applyNumberFormat="1" applyFont="1" applyFill="1" applyBorder="1" applyAlignment="1">
      <alignment horizontal="center" vertical="center"/>
    </xf>
    <xf numFmtId="169" fontId="8" fillId="0" borderId="74" xfId="13" applyNumberFormat="1" applyFont="1" applyFill="1" applyBorder="1" applyAlignment="1" applyProtection="1">
      <alignment vertical="center"/>
      <protection locked="0"/>
    </xf>
    <xf numFmtId="170" fontId="8" fillId="0" borderId="5" xfId="4" applyNumberFormat="1" applyFont="1" applyFill="1" applyBorder="1" applyAlignment="1">
      <alignment horizontal="center" vertical="center"/>
    </xf>
    <xf numFmtId="170" fontId="8" fillId="0" borderId="75" xfId="4" applyNumberFormat="1" applyFont="1" applyFill="1" applyBorder="1" applyAlignment="1">
      <alignment horizontal="center" vertical="center"/>
    </xf>
    <xf numFmtId="170" fontId="8" fillId="0" borderId="72" xfId="4" applyNumberFormat="1" applyFont="1" applyFill="1" applyBorder="1" applyAlignment="1">
      <alignment horizontal="center" vertical="center"/>
    </xf>
    <xf numFmtId="0" fontId="14" fillId="0" borderId="0" xfId="0" applyFont="1" applyFill="1" applyBorder="1" applyAlignment="1">
      <alignment horizontal="left" vertical="top" wrapText="1"/>
    </xf>
    <xf numFmtId="3" fontId="14" fillId="0" borderId="0" xfId="0" applyNumberFormat="1" applyFont="1" applyAlignment="1">
      <alignment horizontal="right"/>
    </xf>
    <xf numFmtId="3" fontId="14" fillId="0" borderId="0" xfId="0" applyNumberFormat="1" applyFont="1" applyBorder="1" applyAlignment="1">
      <alignment horizontal="right" wrapText="1"/>
    </xf>
    <xf numFmtId="167" fontId="14" fillId="0" borderId="0" xfId="0" applyNumberFormat="1" applyFont="1" applyBorder="1" applyAlignment="1">
      <alignment horizontal="right" wrapText="1"/>
    </xf>
    <xf numFmtId="167" fontId="14" fillId="0" borderId="0" xfId="0" applyNumberFormat="1" applyFont="1" applyFill="1" applyBorder="1" applyAlignment="1">
      <alignment horizontal="right" wrapText="1"/>
    </xf>
    <xf numFmtId="0" fontId="14" fillId="0" borderId="0" xfId="0" applyFont="1" applyAlignment="1">
      <alignment horizontal="right"/>
    </xf>
    <xf numFmtId="1" fontId="14" fillId="0" borderId="0" xfId="0" applyNumberFormat="1" applyFont="1" applyAlignment="1">
      <alignment horizontal="right"/>
    </xf>
    <xf numFmtId="0" fontId="8" fillId="0" borderId="0" xfId="0" applyFont="1" applyAlignment="1">
      <alignment vertical="top"/>
    </xf>
    <xf numFmtId="0" fontId="88" fillId="0" borderId="0" xfId="0" applyFont="1" applyFill="1" applyBorder="1" applyAlignment="1">
      <alignment horizontal="left" vertical="top" wrapText="1"/>
    </xf>
    <xf numFmtId="3" fontId="88" fillId="0" borderId="0" xfId="0" applyNumberFormat="1" applyFont="1" applyAlignment="1">
      <alignment horizontal="right"/>
    </xf>
    <xf numFmtId="3" fontId="88" fillId="0" borderId="0" xfId="0" applyNumberFormat="1" applyFont="1" applyBorder="1" applyAlignment="1">
      <alignment horizontal="right" wrapText="1"/>
    </xf>
    <xf numFmtId="167" fontId="88" fillId="0" borderId="0" xfId="0" applyNumberFormat="1" applyFont="1" applyBorder="1" applyAlignment="1">
      <alignment horizontal="right" wrapText="1"/>
    </xf>
    <xf numFmtId="0" fontId="31" fillId="3" borderId="0" xfId="0" applyFont="1" applyFill="1" applyBorder="1" applyAlignment="1">
      <alignment horizontal="left" vertical="center" wrapText="1"/>
    </xf>
    <xf numFmtId="3" fontId="31" fillId="3" borderId="0" xfId="0" applyNumberFormat="1" applyFont="1" applyFill="1" applyBorder="1" applyAlignment="1">
      <alignment horizontal="right" vertical="center" wrapText="1"/>
    </xf>
    <xf numFmtId="167" fontId="31" fillId="3" borderId="0" xfId="0" applyNumberFormat="1" applyFont="1" applyFill="1" applyBorder="1" applyAlignment="1">
      <alignment horizontal="right" vertical="center" wrapText="1"/>
    </xf>
    <xf numFmtId="166" fontId="8" fillId="0" borderId="0" xfId="14" applyNumberFormat="1"/>
    <xf numFmtId="0" fontId="89" fillId="0" borderId="0" xfId="144" applyFont="1" applyFill="1" applyBorder="1"/>
    <xf numFmtId="0" fontId="36" fillId="0" borderId="0" xfId="0" applyFont="1" applyFill="1" applyBorder="1" applyAlignment="1">
      <alignment horizontal="left" vertical="center" wrapText="1"/>
    </xf>
    <xf numFmtId="0" fontId="14" fillId="0" borderId="0" xfId="0" applyFont="1" applyBorder="1" applyAlignment="1" applyProtection="1">
      <alignment horizontal="left" vertical="center" wrapText="1"/>
      <protection locked="0"/>
    </xf>
    <xf numFmtId="0" fontId="0" fillId="0" borderId="0" xfId="0" applyAlignment="1">
      <alignment vertical="center" wrapText="1"/>
    </xf>
    <xf numFmtId="0" fontId="14" fillId="0" borderId="0" xfId="26" applyNumberFormat="1" applyFont="1" applyFill="1" applyBorder="1" applyAlignment="1" applyProtection="1">
      <alignment horizontal="left" wrapText="1"/>
      <protection locked="0"/>
    </xf>
    <xf numFmtId="0" fontId="14" fillId="0" borderId="0" xfId="26" applyNumberFormat="1" applyFont="1" applyFill="1" applyBorder="1" applyAlignment="1" applyProtection="1">
      <alignment horizontal="left"/>
      <protection locked="0"/>
    </xf>
    <xf numFmtId="0" fontId="14" fillId="0" borderId="0" xfId="35" applyFont="1" applyFill="1" applyAlignment="1">
      <alignment horizontal="left" wrapText="1"/>
    </xf>
    <xf numFmtId="0" fontId="14" fillId="0" borderId="0" xfId="35" applyFont="1" applyFill="1" applyAlignment="1">
      <alignment horizontal="left" vertical="center" wrapText="1"/>
    </xf>
    <xf numFmtId="0" fontId="35" fillId="0" borderId="0" xfId="12" applyFont="1" applyBorder="1" applyAlignment="1" applyProtection="1">
      <alignment horizontal="left" vertical="center" wrapText="1"/>
      <protection locked="0"/>
    </xf>
    <xf numFmtId="165" fontId="15" fillId="3" borderId="6" xfId="35" applyNumberFormat="1" applyFont="1" applyFill="1" applyBorder="1" applyAlignment="1">
      <alignment horizontal="center" wrapText="1"/>
    </xf>
    <xf numFmtId="165" fontId="15" fillId="3" borderId="52" xfId="35" applyNumberFormat="1" applyFont="1" applyFill="1" applyBorder="1" applyAlignment="1">
      <alignment horizontal="center" wrapText="1"/>
    </xf>
    <xf numFmtId="1" fontId="14" fillId="0" borderId="0" xfId="35" applyNumberFormat="1" applyFont="1" applyFill="1" applyBorder="1" applyAlignment="1">
      <alignment horizontal="left"/>
    </xf>
    <xf numFmtId="1" fontId="14" fillId="0" borderId="29" xfId="35" applyNumberFormat="1" applyFont="1" applyFill="1" applyBorder="1" applyAlignment="1">
      <alignment horizontal="left"/>
    </xf>
    <xf numFmtId="165" fontId="12" fillId="0" borderId="0" xfId="35" applyNumberFormat="1" applyFont="1" applyFill="1" applyBorder="1" applyAlignment="1">
      <alignment horizontal="right"/>
    </xf>
    <xf numFmtId="165" fontId="12" fillId="0" borderId="29" xfId="35" applyNumberFormat="1" applyFont="1" applyFill="1" applyBorder="1" applyAlignment="1">
      <alignment horizontal="right"/>
    </xf>
    <xf numFmtId="165" fontId="14" fillId="0" borderId="0" xfId="35" applyNumberFormat="1" applyFont="1" applyFill="1" applyBorder="1" applyAlignment="1">
      <alignment horizontal="left"/>
    </xf>
    <xf numFmtId="165" fontId="14" fillId="0" borderId="29" xfId="35" applyNumberFormat="1" applyFont="1" applyFill="1" applyBorder="1" applyAlignment="1">
      <alignment horizontal="left"/>
    </xf>
    <xf numFmtId="3" fontId="15" fillId="3" borderId="0" xfId="35" applyNumberFormat="1" applyFont="1" applyFill="1" applyBorder="1" applyAlignment="1">
      <alignment horizontal="left" vertical="center" wrapText="1"/>
    </xf>
    <xf numFmtId="3" fontId="15" fillId="3" borderId="29" xfId="35" applyNumberFormat="1" applyFont="1" applyFill="1" applyBorder="1" applyAlignment="1">
      <alignment horizontal="left" vertical="center" wrapText="1"/>
    </xf>
    <xf numFmtId="0" fontId="77" fillId="0" borderId="0" xfId="0" applyFont="1" applyFill="1" applyBorder="1" applyAlignment="1">
      <alignment horizontal="left" vertical="center" wrapText="1"/>
    </xf>
    <xf numFmtId="0" fontId="13" fillId="0" borderId="0" xfId="26" applyFont="1" applyAlignment="1">
      <alignment horizontal="left" vertical="center" wrapText="1"/>
    </xf>
    <xf numFmtId="0" fontId="14"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19" fillId="0" borderId="0" xfId="12" applyFont="1" applyBorder="1" applyAlignment="1">
      <alignment horizontal="left" vertical="center" wrapText="1"/>
    </xf>
    <xf numFmtId="0" fontId="14" fillId="0" borderId="0" xfId="26" applyFont="1" applyAlignment="1">
      <alignment horizontal="left" wrapText="1"/>
    </xf>
    <xf numFmtId="0" fontId="12" fillId="0" borderId="0" xfId="28" applyFont="1" applyAlignment="1">
      <alignment horizontal="left" wrapText="1"/>
    </xf>
    <xf numFmtId="0" fontId="9" fillId="4" borderId="18" xfId="28" applyFont="1" applyFill="1" applyBorder="1" applyAlignment="1">
      <alignment horizontal="center" vertical="center"/>
    </xf>
    <xf numFmtId="0" fontId="9" fillId="4" borderId="17" xfId="28" applyFont="1" applyFill="1" applyBorder="1" applyAlignment="1">
      <alignment horizontal="center" vertical="center"/>
    </xf>
    <xf numFmtId="0" fontId="9" fillId="4" borderId="19" xfId="28" applyFont="1" applyFill="1" applyBorder="1" applyAlignment="1">
      <alignment horizontal="center" vertical="center"/>
    </xf>
    <xf numFmtId="0" fontId="20" fillId="0" borderId="0" xfId="0" applyFont="1" applyFill="1" applyBorder="1" applyAlignment="1">
      <alignment horizontal="left" vertical="center" wrapText="1"/>
    </xf>
    <xf numFmtId="0" fontId="8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1" fontId="22" fillId="3" borderId="53" xfId="4" applyNumberFormat="1" applyFont="1" applyFill="1" applyBorder="1" applyAlignment="1">
      <alignment horizontal="center" vertical="center" wrapText="1"/>
    </xf>
    <xf numFmtId="1" fontId="22" fillId="3" borderId="54" xfId="4" applyNumberFormat="1" applyFont="1" applyFill="1" applyBorder="1" applyAlignment="1">
      <alignment horizontal="center" vertical="center" wrapText="1"/>
    </xf>
    <xf numFmtId="1" fontId="22" fillId="3" borderId="63" xfId="4" applyNumberFormat="1" applyFont="1" applyFill="1" applyBorder="1" applyAlignment="1">
      <alignment horizontal="center" vertical="center" wrapText="1"/>
    </xf>
    <xf numFmtId="1" fontId="22" fillId="3" borderId="64" xfId="4" applyNumberFormat="1" applyFont="1" applyFill="1" applyBorder="1" applyAlignment="1">
      <alignment horizontal="center" vertical="center" wrapText="1"/>
    </xf>
    <xf numFmtId="1" fontId="22" fillId="3" borderId="30" xfId="4" applyNumberFormat="1" applyFont="1" applyFill="1" applyBorder="1" applyAlignment="1">
      <alignment horizontal="center" vertical="center" wrapText="1"/>
    </xf>
    <xf numFmtId="1" fontId="22" fillId="3" borderId="35" xfId="4" applyNumberFormat="1" applyFont="1" applyFill="1" applyBorder="1" applyAlignment="1">
      <alignment horizontal="center" vertical="center" wrapText="1"/>
    </xf>
    <xf numFmtId="1" fontId="30" fillId="3" borderId="30" xfId="4" applyNumberFormat="1" applyFont="1" applyFill="1" applyBorder="1" applyAlignment="1">
      <alignment horizontal="center" vertical="center" wrapText="1"/>
    </xf>
    <xf numFmtId="1" fontId="30" fillId="3" borderId="35" xfId="4" applyNumberFormat="1" applyFont="1" applyFill="1" applyBorder="1" applyAlignment="1">
      <alignment horizontal="center" vertical="center" wrapText="1"/>
    </xf>
    <xf numFmtId="3" fontId="22" fillId="3" borderId="53" xfId="13" applyNumberFormat="1" applyFont="1" applyFill="1" applyBorder="1" applyAlignment="1">
      <alignment horizontal="center" vertical="center" wrapText="1"/>
    </xf>
    <xf numFmtId="3" fontId="22" fillId="3" borderId="54" xfId="13" applyNumberFormat="1" applyFont="1" applyFill="1" applyBorder="1" applyAlignment="1">
      <alignment horizontal="center" vertical="center" wrapText="1"/>
    </xf>
    <xf numFmtId="0" fontId="13" fillId="0" borderId="0" xfId="0" applyFont="1" applyBorder="1" applyAlignment="1">
      <alignment horizontal="left"/>
    </xf>
    <xf numFmtId="0" fontId="13"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70" fillId="3" borderId="76" xfId="28" applyFont="1" applyFill="1" applyBorder="1" applyAlignment="1">
      <alignment horizontal="center" vertical="center" wrapText="1"/>
    </xf>
    <xf numFmtId="0" fontId="70" fillId="3" borderId="77" xfId="28" applyFont="1" applyFill="1" applyBorder="1" applyAlignment="1">
      <alignment horizontal="center" vertical="center" wrapText="1"/>
    </xf>
    <xf numFmtId="0" fontId="80" fillId="0" borderId="66" xfId="0" applyFont="1" applyFill="1" applyBorder="1" applyAlignment="1">
      <alignment horizontal="left" vertical="center" wrapText="1"/>
    </xf>
    <xf numFmtId="0" fontId="20" fillId="0" borderId="66" xfId="0" applyFont="1" applyBorder="1" applyAlignment="1">
      <alignment horizontal="left" wrapText="1"/>
    </xf>
    <xf numFmtId="0" fontId="0" fillId="0" borderId="66" xfId="0" applyBorder="1" applyAlignment="1">
      <alignment horizontal="left" wrapText="1"/>
    </xf>
  </cellXfs>
  <cellStyles count="163">
    <cellStyle name="20% - Accent1" xfId="43"/>
    <cellStyle name="20% - Accent2" xfId="44"/>
    <cellStyle name="20% - Accent3" xfId="45"/>
    <cellStyle name="20% - Accent4" xfId="46"/>
    <cellStyle name="20% - Accent5" xfId="47"/>
    <cellStyle name="20% - Accent6" xfId="48"/>
    <cellStyle name="40% - Accent1" xfId="49"/>
    <cellStyle name="40% - Accent2" xfId="50"/>
    <cellStyle name="40% - Accent3" xfId="51"/>
    <cellStyle name="40% - Accent4" xfId="52"/>
    <cellStyle name="40% - Accent5" xfId="53"/>
    <cellStyle name="40% - Accent6" xfId="54"/>
    <cellStyle name="60% - Accent1" xfId="55"/>
    <cellStyle name="60% - Accent2" xfId="56"/>
    <cellStyle name="60% - Accent3" xfId="57"/>
    <cellStyle name="60% - Accent4" xfId="58"/>
    <cellStyle name="60% - Accent5" xfId="59"/>
    <cellStyle name="60% - Accent6" xfId="60"/>
    <cellStyle name="Bad" xfId="61"/>
    <cellStyle name="bin" xfId="62"/>
    <cellStyle name="Calculation" xfId="63"/>
    <cellStyle name="cell" xfId="64"/>
    <cellStyle name="Check Cell" xfId="65"/>
    <cellStyle name="Col&amp;RowHeadings" xfId="66"/>
    <cellStyle name="ColCodes" xfId="67"/>
    <cellStyle name="ColTitles" xfId="68"/>
    <cellStyle name="ColTitles 2" xfId="137"/>
    <cellStyle name="column" xfId="69"/>
    <cellStyle name="Comma [0]_B3.1a" xfId="70"/>
    <cellStyle name="Comma 2" xfId="71"/>
    <cellStyle name="Comma 2 2" xfId="138"/>
    <cellStyle name="Comma_B3.1a" xfId="72"/>
    <cellStyle name="Currency [0]_B3.1a" xfId="73"/>
    <cellStyle name="Currency_B3.1a" xfId="74"/>
    <cellStyle name="DataEntryCells" xfId="75"/>
    <cellStyle name="Euro" xfId="19"/>
    <cellStyle name="Explanatory Text" xfId="76"/>
    <cellStyle name="formula" xfId="77"/>
    <cellStyle name="gap" xfId="78"/>
    <cellStyle name="Good" xfId="79"/>
    <cellStyle name="GreyBackground" xfId="80"/>
    <cellStyle name="Heading 1" xfId="81"/>
    <cellStyle name="Heading 2" xfId="82"/>
    <cellStyle name="Heading 3" xfId="83"/>
    <cellStyle name="Heading 4" xfId="84"/>
    <cellStyle name="Hyperlink 2" xfId="85"/>
    <cellStyle name="Input" xfId="86"/>
    <cellStyle name="ISC" xfId="87"/>
    <cellStyle name="level1a" xfId="88"/>
    <cellStyle name="level2" xfId="89"/>
    <cellStyle name="level2a" xfId="90"/>
    <cellStyle name="level3" xfId="91"/>
    <cellStyle name="Lien hypertexte" xfId="144" builtinId="8"/>
    <cellStyle name="Lien hypertexte 2" xfId="1"/>
    <cellStyle name="Lien hypertexte 2 2" xfId="20"/>
    <cellStyle name="Lien hypertexte 2 3" xfId="92"/>
    <cellStyle name="Lien hypertexte 3" xfId="2"/>
    <cellStyle name="Lien hypertexte 3 2" xfId="120"/>
    <cellStyle name="Lien hypertexte 3 3" xfId="93"/>
    <cellStyle name="Lien hypertexte 4" xfId="3"/>
    <cellStyle name="Lien hypertexte 4 2" xfId="21"/>
    <cellStyle name="Lien hypertexte 5" xfId="160"/>
    <cellStyle name="Linked Cell" xfId="94"/>
    <cellStyle name="Migliaia (0)_conti99" xfId="95"/>
    <cellStyle name="Milliers" xfId="4" builtinId="3"/>
    <cellStyle name="Milliers 2" xfId="5"/>
    <cellStyle name="Milliers 2 2" xfId="22"/>
    <cellStyle name="Milliers 2 3" xfId="142"/>
    <cellStyle name="Milliers 3" xfId="6"/>
    <cellStyle name="Milliers 3 2" xfId="23"/>
    <cellStyle name="Milliers 3 3" xfId="38"/>
    <cellStyle name="Milliers 4" xfId="124"/>
    <cellStyle name="Milliers 5" xfId="141"/>
    <cellStyle name="Milliers 6" xfId="146"/>
    <cellStyle name="Milliers 6 2" xfId="147"/>
    <cellStyle name="Milliers 6 3" xfId="148"/>
    <cellStyle name="Neutral" xfId="96"/>
    <cellStyle name="Normaali_Y8_Fin02" xfId="97"/>
    <cellStyle name="Normal" xfId="0" builtinId="0"/>
    <cellStyle name="Normal 10" xfId="123"/>
    <cellStyle name="Normal 11" xfId="24"/>
    <cellStyle name="Normal 12" xfId="25"/>
    <cellStyle name="Normal 13" xfId="122"/>
    <cellStyle name="Normal 14" xfId="154"/>
    <cellStyle name="Normal 2" xfId="7"/>
    <cellStyle name="Normal 2 2" xfId="8"/>
    <cellStyle name="Normal 2 2 2" xfId="28"/>
    <cellStyle name="Normal 2 2 3" xfId="27"/>
    <cellStyle name="Normal 2 2 4" xfId="126"/>
    <cellStyle name="Normal 2 2 5" xfId="143"/>
    <cellStyle name="Normal 2 3" xfId="29"/>
    <cellStyle name="Normal 2 3 2" xfId="99"/>
    <cellStyle name="Normal 2 3 3" xfId="134"/>
    <cellStyle name="Normal 2 3 4" xfId="145"/>
    <cellStyle name="Normal 2 4" xfId="26"/>
    <cellStyle name="Normal 2 5" xfId="98"/>
    <cellStyle name="Normal 2 6" xfId="125"/>
    <cellStyle name="Normal 2 7" xfId="157"/>
    <cellStyle name="Normal 2_TC_A1" xfId="100"/>
    <cellStyle name="Normal 3" xfId="9"/>
    <cellStyle name="Normal 3 2" xfId="10"/>
    <cellStyle name="Normal 3 2 2" xfId="31"/>
    <cellStyle name="Normal 3 2 3" xfId="102"/>
    <cellStyle name="Normal 3 2 4" xfId="128"/>
    <cellStyle name="Normal 3 2 5" xfId="161"/>
    <cellStyle name="Normal 3 3" xfId="30"/>
    <cellStyle name="Normal 3 3 2" xfId="135"/>
    <cellStyle name="Normal 3 3 3" xfId="162"/>
    <cellStyle name="Normal 3 4" xfId="101"/>
    <cellStyle name="Normal 3 5" xfId="127"/>
    <cellStyle name="Normal 3 6" xfId="155"/>
    <cellStyle name="Normal 4" xfId="17"/>
    <cellStyle name="Normal 4 2" xfId="11"/>
    <cellStyle name="Normal 4 3" xfId="32"/>
    <cellStyle name="Normal 4 4" xfId="132"/>
    <cellStyle name="Normal 5" xfId="12"/>
    <cellStyle name="Normal 5 2" xfId="42"/>
    <cellStyle name="Normal 5 3" xfId="129"/>
    <cellStyle name="Normal 6" xfId="33"/>
    <cellStyle name="Normal 6 2" xfId="34"/>
    <cellStyle name="Normal 6 3" xfId="136"/>
    <cellStyle name="Normal 7" xfId="35"/>
    <cellStyle name="Normal 7 2" xfId="149"/>
    <cellStyle name="Normal 7 3" xfId="150"/>
    <cellStyle name="Normal 8" xfId="18"/>
    <cellStyle name="Normal 8 2" xfId="121"/>
    <cellStyle name="Normal 8 3" xfId="133"/>
    <cellStyle name="Normal 9" xfId="40"/>
    <cellStyle name="Normal_RERS2004_06_01" xfId="13"/>
    <cellStyle name="Note" xfId="103"/>
    <cellStyle name="Note 2" xfId="139"/>
    <cellStyle name="Output" xfId="104"/>
    <cellStyle name="Percent 2" xfId="105"/>
    <cellStyle name="Percent 2 2" xfId="140"/>
    <cellStyle name="Percent_1 SubOverv.USd" xfId="106"/>
    <cellStyle name="Pourcentage" xfId="14" builtinId="5"/>
    <cellStyle name="Pourcentage 2" xfId="15"/>
    <cellStyle name="Pourcentage 2 2" xfId="36"/>
    <cellStyle name="Pourcentage 2 3" xfId="39"/>
    <cellStyle name="Pourcentage 2 4" xfId="130"/>
    <cellStyle name="Pourcentage 2 5" xfId="158"/>
    <cellStyle name="Pourcentage 3" xfId="16"/>
    <cellStyle name="Pourcentage 3 2" xfId="37"/>
    <cellStyle name="Pourcentage 3 3" xfId="131"/>
    <cellStyle name="Pourcentage 3 4" xfId="156"/>
    <cellStyle name="Pourcentage 4" xfId="107"/>
    <cellStyle name="Pourcentage 5" xfId="41"/>
    <cellStyle name="Pourcentage 5 2" xfId="151"/>
    <cellStyle name="Pourcentage 5 3" xfId="152"/>
    <cellStyle name="Pourcentage 6" xfId="153"/>
    <cellStyle name="Pourcentage 7" xfId="159"/>
    <cellStyle name="Prozent_SubCatperStud" xfId="108"/>
    <cellStyle name="row" xfId="109"/>
    <cellStyle name="RowCodes" xfId="110"/>
    <cellStyle name="Row-Col Headings" xfId="111"/>
    <cellStyle name="RowTitles_CENTRAL_GOVT" xfId="112"/>
    <cellStyle name="RowTitles-Col2" xfId="113"/>
    <cellStyle name="RowTitles-Detail" xfId="114"/>
    <cellStyle name="Standard_Info" xfId="115"/>
    <cellStyle name="temp" xfId="116"/>
    <cellStyle name="Title" xfId="117"/>
    <cellStyle name="title1" xfId="118"/>
    <cellStyle name="Warning Text" xfId="119"/>
  </cellStyles>
  <dxfs count="0"/>
  <tableStyles count="0" defaultTableStyle="TableStyleMedium2" defaultPivotStyle="PivotStyleLight16"/>
  <colors>
    <mruColors>
      <color rgb="FFFC12FC"/>
      <color rgb="FFF618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1'!$A$5</c:f>
              <c:strCache>
                <c:ptCount val="1"/>
                <c:pt idx="0">
                  <c:v>Université (1)</c:v>
                </c:pt>
              </c:strCache>
            </c:strRef>
          </c:tx>
          <c:spPr>
            <a:ln w="25400">
              <a:solidFill>
                <a:srgbClr val="FF0000"/>
              </a:solidFill>
              <a:prstDash val="solid"/>
            </a:ln>
          </c:spPr>
          <c:marker>
            <c:symbol val="none"/>
          </c:marker>
          <c:cat>
            <c:strRef>
              <c:f>'Graphique 1'!$B$4:$L$4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1'!$B$5:$L$5</c:f>
              <c:numCache>
                <c:formatCode>0.0</c:formatCode>
                <c:ptCount val="11"/>
                <c:pt idx="0">
                  <c:v>1429.7380000000001</c:v>
                </c:pt>
                <c:pt idx="1">
                  <c:v>1443.2840000000001</c:v>
                </c:pt>
                <c:pt idx="2">
                  <c:v>1479.337</c:v>
                </c:pt>
                <c:pt idx="3">
                  <c:v>1509.6189999999999</c:v>
                </c:pt>
                <c:pt idx="4">
                  <c:v>1552.2449999999999</c:v>
                </c:pt>
                <c:pt idx="5">
                  <c:v>1568.854</c:v>
                </c:pt>
                <c:pt idx="6">
                  <c:v>1584.8209999999999</c:v>
                </c:pt>
                <c:pt idx="7">
                  <c:v>1614.883</c:v>
                </c:pt>
                <c:pt idx="8">
                  <c:v>1635.35</c:v>
                </c:pt>
                <c:pt idx="9">
                  <c:v>1649.9780000000001</c:v>
                </c:pt>
                <c:pt idx="10">
                  <c:v>1656.914</c:v>
                </c:pt>
              </c:numCache>
            </c:numRef>
          </c:val>
          <c:smooth val="0"/>
          <c:extLst>
            <c:ext xmlns:c16="http://schemas.microsoft.com/office/drawing/2014/chart" uri="{C3380CC4-5D6E-409C-BE32-E72D297353CC}">
              <c16:uniqueId val="{00000000-3ECD-4003-9943-F01778C9B27A}"/>
            </c:ext>
          </c:extLst>
        </c:ser>
        <c:ser>
          <c:idx val="2"/>
          <c:order val="1"/>
          <c:tx>
            <c:strRef>
              <c:f>'Graphique 1'!$A$7</c:f>
              <c:strCache>
                <c:ptCount val="1"/>
                <c:pt idx="0">
                  <c:v>Total enseignement supérieur</c:v>
                </c:pt>
              </c:strCache>
            </c:strRef>
          </c:tx>
          <c:spPr>
            <a:ln>
              <a:solidFill>
                <a:srgbClr val="0070C0"/>
              </a:solidFill>
            </a:ln>
          </c:spPr>
          <c:marker>
            <c:symbol val="none"/>
          </c:marker>
          <c:cat>
            <c:strRef>
              <c:f>'Graphique 1'!$B$4:$L$4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1'!$B$7:$L$7</c:f>
              <c:numCache>
                <c:formatCode>0.0</c:formatCode>
                <c:ptCount val="11"/>
                <c:pt idx="0">
                  <c:v>2385.0509999999999</c:v>
                </c:pt>
                <c:pt idx="1">
                  <c:v>2421.5729999999999</c:v>
                </c:pt>
                <c:pt idx="2">
                  <c:v>2472.799</c:v>
                </c:pt>
                <c:pt idx="3">
                  <c:v>2507.8029999999999</c:v>
                </c:pt>
                <c:pt idx="4">
                  <c:v>2569.8960000000002</c:v>
                </c:pt>
                <c:pt idx="5">
                  <c:v>2617.3159999999998</c:v>
                </c:pt>
                <c:pt idx="6">
                  <c:v>2689.8090000000002</c:v>
                </c:pt>
                <c:pt idx="7">
                  <c:v>2754.5859999999998</c:v>
                </c:pt>
                <c:pt idx="8">
                  <c:v>2807.002</c:v>
                </c:pt>
                <c:pt idx="9">
                  <c:v>2895.4940000000001</c:v>
                </c:pt>
                <c:pt idx="10">
                  <c:v>2968.9360000000001</c:v>
                </c:pt>
              </c:numCache>
            </c:numRef>
          </c:val>
          <c:smooth val="0"/>
          <c:extLst>
            <c:ext xmlns:c16="http://schemas.microsoft.com/office/drawing/2014/chart" uri="{C3380CC4-5D6E-409C-BE32-E72D297353CC}">
              <c16:uniqueId val="{00000002-3ECD-4003-9943-F01778C9B27A}"/>
            </c:ext>
          </c:extLst>
        </c:ser>
        <c:ser>
          <c:idx val="1"/>
          <c:order val="2"/>
          <c:tx>
            <c:strRef>
              <c:f>'Graphique 1'!$A$6</c:f>
              <c:strCache>
                <c:ptCount val="1"/>
                <c:pt idx="0">
                  <c:v>Universités hors DUT ou BUT</c:v>
                </c:pt>
              </c:strCache>
            </c:strRef>
          </c:tx>
          <c:spPr>
            <a:ln w="25400">
              <a:solidFill>
                <a:schemeClr val="tx1">
                  <a:lumMod val="50000"/>
                  <a:lumOff val="50000"/>
                </a:schemeClr>
              </a:solidFill>
              <a:prstDash val="solid"/>
            </a:ln>
          </c:spPr>
          <c:marker>
            <c:symbol val="none"/>
          </c:marker>
          <c:cat>
            <c:strRef>
              <c:f>'Graphique 1'!$B$4:$L$4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1'!$B$6:$L$6</c:f>
              <c:numCache>
                <c:formatCode>0.0</c:formatCode>
                <c:ptCount val="11"/>
                <c:pt idx="0">
                  <c:v>1314.7240000000002</c:v>
                </c:pt>
                <c:pt idx="1">
                  <c:v>1328.6070000000002</c:v>
                </c:pt>
                <c:pt idx="2">
                  <c:v>1363.559</c:v>
                </c:pt>
                <c:pt idx="3">
                  <c:v>1393.2239999999999</c:v>
                </c:pt>
                <c:pt idx="4">
                  <c:v>1436.0619999999999</c:v>
                </c:pt>
                <c:pt idx="5">
                  <c:v>1452.3030000000001</c:v>
                </c:pt>
                <c:pt idx="6">
                  <c:v>1468.07</c:v>
                </c:pt>
                <c:pt idx="7">
                  <c:v>1495.222</c:v>
                </c:pt>
                <c:pt idx="8">
                  <c:v>1514.799</c:v>
                </c:pt>
                <c:pt idx="9">
                  <c:v>1529.048</c:v>
                </c:pt>
                <c:pt idx="10">
                  <c:v>1541.8579999999999</c:v>
                </c:pt>
              </c:numCache>
            </c:numRef>
          </c:val>
          <c:smooth val="0"/>
          <c:extLst>
            <c:ext xmlns:c16="http://schemas.microsoft.com/office/drawing/2014/chart" uri="{C3380CC4-5D6E-409C-BE32-E72D297353CC}">
              <c16:uniqueId val="{00000001-3ECD-4003-9943-F01778C9B27A}"/>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000"/>
          <c:min val="13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8.1995150040416326E-3"/>
          <c:y val="0.80837326584176983"/>
          <c:w val="0.19719325255622869"/>
          <c:h val="0.11392519685039371"/>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98556078613497"/>
          <c:y val="4.2861097440944879E-2"/>
          <c:w val="0.7907780428250758"/>
          <c:h val="0.91507874015748036"/>
        </c:manualLayout>
      </c:layout>
      <c:doughnutChart>
        <c:varyColors val="1"/>
        <c:ser>
          <c:idx val="1"/>
          <c:order val="0"/>
          <c:tx>
            <c:v>Continent</c:v>
          </c:tx>
          <c:dPt>
            <c:idx val="0"/>
            <c:bubble3D val="0"/>
            <c:spPr>
              <a:solidFill>
                <a:schemeClr val="accent5">
                  <a:lumMod val="50000"/>
                </a:schemeClr>
              </a:solidFill>
            </c:spPr>
            <c:extLst>
              <c:ext xmlns:c16="http://schemas.microsoft.com/office/drawing/2014/chart" uri="{C3380CC4-5D6E-409C-BE32-E72D297353CC}">
                <c16:uniqueId val="{00000001-7AC6-4202-BF6C-69709D0BE73C}"/>
              </c:ext>
            </c:extLst>
          </c:dPt>
          <c:dPt>
            <c:idx val="1"/>
            <c:bubble3D val="0"/>
            <c:spPr>
              <a:solidFill>
                <a:schemeClr val="accent6">
                  <a:lumMod val="75000"/>
                </a:schemeClr>
              </a:solidFill>
            </c:spPr>
            <c:extLst>
              <c:ext xmlns:c16="http://schemas.microsoft.com/office/drawing/2014/chart" uri="{C3380CC4-5D6E-409C-BE32-E72D297353CC}">
                <c16:uniqueId val="{00000003-7AC6-4202-BF6C-69709D0BE73C}"/>
              </c:ext>
            </c:extLst>
          </c:dPt>
          <c:dPt>
            <c:idx val="2"/>
            <c:bubble3D val="0"/>
            <c:spPr>
              <a:solidFill>
                <a:schemeClr val="accent3">
                  <a:lumMod val="50000"/>
                </a:schemeClr>
              </a:solidFill>
            </c:spPr>
            <c:extLst>
              <c:ext xmlns:c16="http://schemas.microsoft.com/office/drawing/2014/chart" uri="{C3380CC4-5D6E-409C-BE32-E72D297353CC}">
                <c16:uniqueId val="{00000005-7AC6-4202-BF6C-69709D0BE73C}"/>
              </c:ext>
            </c:extLst>
          </c:dPt>
          <c:dPt>
            <c:idx val="3"/>
            <c:bubble3D val="0"/>
            <c:spPr>
              <a:solidFill>
                <a:schemeClr val="accent4">
                  <a:lumMod val="50000"/>
                </a:schemeClr>
              </a:solidFill>
            </c:spPr>
            <c:extLst>
              <c:ext xmlns:c16="http://schemas.microsoft.com/office/drawing/2014/chart" uri="{C3380CC4-5D6E-409C-BE32-E72D297353CC}">
                <c16:uniqueId val="{00000007-7AC6-4202-BF6C-69709D0BE73C}"/>
              </c:ext>
            </c:extLst>
          </c:dPt>
          <c:dPt>
            <c:idx val="4"/>
            <c:bubble3D val="0"/>
            <c:extLst>
              <c:ext xmlns:c16="http://schemas.microsoft.com/office/drawing/2014/chart" uri="{C3380CC4-5D6E-409C-BE32-E72D297353CC}">
                <c16:uniqueId val="{00000008-7AC6-4202-BF6C-69709D0BE73C}"/>
              </c:ext>
            </c:extLst>
          </c:dPt>
          <c:dPt>
            <c:idx val="5"/>
            <c:bubble3D val="0"/>
            <c:extLst>
              <c:ext xmlns:c16="http://schemas.microsoft.com/office/drawing/2014/chart" uri="{C3380CC4-5D6E-409C-BE32-E72D297353CC}">
                <c16:uniqueId val="{00000009-7AC6-4202-BF6C-69709D0BE73C}"/>
              </c:ext>
            </c:extLst>
          </c:dPt>
          <c:dPt>
            <c:idx val="6"/>
            <c:bubble3D val="0"/>
            <c:extLst>
              <c:ext xmlns:c16="http://schemas.microsoft.com/office/drawing/2014/chart" uri="{C3380CC4-5D6E-409C-BE32-E72D297353CC}">
                <c16:uniqueId val="{0000000A-7AC6-4202-BF6C-69709D0BE73C}"/>
              </c:ext>
            </c:extLst>
          </c:dPt>
          <c:dPt>
            <c:idx val="7"/>
            <c:bubble3D val="0"/>
            <c:extLst>
              <c:ext xmlns:c16="http://schemas.microsoft.com/office/drawing/2014/chart" uri="{C3380CC4-5D6E-409C-BE32-E72D297353CC}">
                <c16:uniqueId val="{0000000B-7AC6-4202-BF6C-69709D0BE73C}"/>
              </c:ext>
            </c:extLst>
          </c:dPt>
          <c:dPt>
            <c:idx val="8"/>
            <c:bubble3D val="0"/>
            <c:extLst>
              <c:ext xmlns:c16="http://schemas.microsoft.com/office/drawing/2014/chart" uri="{C3380CC4-5D6E-409C-BE32-E72D297353CC}">
                <c16:uniqueId val="{0000000C-7AC6-4202-BF6C-69709D0BE73C}"/>
              </c:ext>
            </c:extLst>
          </c:dPt>
          <c:dPt>
            <c:idx val="9"/>
            <c:bubble3D val="0"/>
            <c:extLst>
              <c:ext xmlns:c16="http://schemas.microsoft.com/office/drawing/2014/chart" uri="{C3380CC4-5D6E-409C-BE32-E72D297353CC}">
                <c16:uniqueId val="{0000000D-7AC6-4202-BF6C-69709D0BE73C}"/>
              </c:ext>
            </c:extLst>
          </c:dPt>
          <c:dPt>
            <c:idx val="10"/>
            <c:bubble3D val="0"/>
            <c:extLst>
              <c:ext xmlns:c16="http://schemas.microsoft.com/office/drawing/2014/chart" uri="{C3380CC4-5D6E-409C-BE32-E72D297353CC}">
                <c16:uniqueId val="{0000000E-7AC6-4202-BF6C-69709D0BE73C}"/>
              </c:ext>
            </c:extLst>
          </c:dPt>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4'!$B$15:$B$18</c:f>
              <c:numCache>
                <c:formatCode>0%</c:formatCode>
                <c:ptCount val="4"/>
                <c:pt idx="0">
                  <c:v>0.5</c:v>
                </c:pt>
                <c:pt idx="1">
                  <c:v>0.22</c:v>
                </c:pt>
                <c:pt idx="2">
                  <c:v>0.19</c:v>
                </c:pt>
                <c:pt idx="3">
                  <c:v>0.09</c:v>
                </c:pt>
              </c:numCache>
            </c:numRef>
          </c:val>
          <c:extLst>
            <c:ext xmlns:c16="http://schemas.microsoft.com/office/drawing/2014/chart" uri="{C3380CC4-5D6E-409C-BE32-E72D297353CC}">
              <c16:uniqueId val="{0000000F-7AC6-4202-BF6C-69709D0BE73C}"/>
            </c:ext>
          </c:extLst>
        </c:ser>
        <c:ser>
          <c:idx val="0"/>
          <c:order val="1"/>
          <c:tx>
            <c:v>Serie 1</c:v>
          </c:tx>
          <c:dPt>
            <c:idx val="0"/>
            <c:bubble3D val="0"/>
            <c:spPr>
              <a:solidFill>
                <a:schemeClr val="accent5">
                  <a:lumMod val="75000"/>
                </a:schemeClr>
              </a:solidFill>
            </c:spPr>
            <c:extLst>
              <c:ext xmlns:c16="http://schemas.microsoft.com/office/drawing/2014/chart" uri="{C3380CC4-5D6E-409C-BE32-E72D297353CC}">
                <c16:uniqueId val="{00000011-7AC6-4202-BF6C-69709D0BE73C}"/>
              </c:ext>
            </c:extLst>
          </c:dPt>
          <c:dPt>
            <c:idx val="1"/>
            <c:bubble3D val="0"/>
            <c:spPr>
              <a:solidFill>
                <a:schemeClr val="accent5">
                  <a:lumMod val="60000"/>
                  <a:lumOff val="40000"/>
                </a:schemeClr>
              </a:solidFill>
            </c:spPr>
            <c:extLst>
              <c:ext xmlns:c16="http://schemas.microsoft.com/office/drawing/2014/chart" uri="{C3380CC4-5D6E-409C-BE32-E72D297353CC}">
                <c16:uniqueId val="{00000013-7AC6-4202-BF6C-69709D0BE73C}"/>
              </c:ext>
            </c:extLst>
          </c:dPt>
          <c:dPt>
            <c:idx val="2"/>
            <c:bubble3D val="0"/>
            <c:spPr>
              <a:solidFill>
                <a:schemeClr val="accent5">
                  <a:lumMod val="40000"/>
                  <a:lumOff val="60000"/>
                </a:schemeClr>
              </a:solidFill>
            </c:spPr>
            <c:extLst>
              <c:ext xmlns:c16="http://schemas.microsoft.com/office/drawing/2014/chart" uri="{C3380CC4-5D6E-409C-BE32-E72D297353CC}">
                <c16:uniqueId val="{00000015-7AC6-4202-BF6C-69709D0BE73C}"/>
              </c:ext>
            </c:extLst>
          </c:dPt>
          <c:dPt>
            <c:idx val="3"/>
            <c:bubble3D val="0"/>
            <c:spPr>
              <a:solidFill>
                <a:schemeClr val="accent5">
                  <a:lumMod val="20000"/>
                  <a:lumOff val="80000"/>
                </a:schemeClr>
              </a:solidFill>
            </c:spPr>
            <c:extLst>
              <c:ext xmlns:c16="http://schemas.microsoft.com/office/drawing/2014/chart" uri="{C3380CC4-5D6E-409C-BE32-E72D297353CC}">
                <c16:uniqueId val="{00000017-7AC6-4202-BF6C-69709D0BE73C}"/>
              </c:ext>
            </c:extLst>
          </c:dPt>
          <c:dPt>
            <c:idx val="4"/>
            <c:bubble3D val="0"/>
            <c:spPr>
              <a:solidFill>
                <a:schemeClr val="bg1">
                  <a:lumMod val="75000"/>
                </a:schemeClr>
              </a:solidFill>
            </c:spPr>
            <c:extLst>
              <c:ext xmlns:c16="http://schemas.microsoft.com/office/drawing/2014/chart" uri="{C3380CC4-5D6E-409C-BE32-E72D297353CC}">
                <c16:uniqueId val="{00000019-7AC6-4202-BF6C-69709D0BE73C}"/>
              </c:ext>
            </c:extLst>
          </c:dPt>
          <c:dPt>
            <c:idx val="5"/>
            <c:bubble3D val="0"/>
            <c:spPr>
              <a:solidFill>
                <a:schemeClr val="accent6">
                  <a:lumMod val="60000"/>
                  <a:lumOff val="40000"/>
                </a:schemeClr>
              </a:solidFill>
            </c:spPr>
            <c:extLst>
              <c:ext xmlns:c16="http://schemas.microsoft.com/office/drawing/2014/chart" uri="{C3380CC4-5D6E-409C-BE32-E72D297353CC}">
                <c16:uniqueId val="{0000001B-7AC6-4202-BF6C-69709D0BE73C}"/>
              </c:ext>
            </c:extLst>
          </c:dPt>
          <c:dPt>
            <c:idx val="6"/>
            <c:bubble3D val="0"/>
            <c:spPr>
              <a:solidFill>
                <a:schemeClr val="accent6">
                  <a:lumMod val="40000"/>
                  <a:lumOff val="60000"/>
                </a:schemeClr>
              </a:solidFill>
            </c:spPr>
            <c:extLst>
              <c:ext xmlns:c16="http://schemas.microsoft.com/office/drawing/2014/chart" uri="{C3380CC4-5D6E-409C-BE32-E72D297353CC}">
                <c16:uniqueId val="{0000001D-7AC6-4202-BF6C-69709D0BE73C}"/>
              </c:ext>
            </c:extLst>
          </c:dPt>
          <c:dPt>
            <c:idx val="7"/>
            <c:bubble3D val="0"/>
            <c:spPr>
              <a:solidFill>
                <a:schemeClr val="accent3">
                  <a:lumMod val="75000"/>
                </a:schemeClr>
              </a:solidFill>
            </c:spPr>
            <c:extLst>
              <c:ext xmlns:c16="http://schemas.microsoft.com/office/drawing/2014/chart" uri="{C3380CC4-5D6E-409C-BE32-E72D297353CC}">
                <c16:uniqueId val="{0000001F-7AC6-4202-BF6C-69709D0BE73C}"/>
              </c:ext>
            </c:extLst>
          </c:dPt>
          <c:dPt>
            <c:idx val="8"/>
            <c:bubble3D val="0"/>
            <c:spPr>
              <a:solidFill>
                <a:schemeClr val="accent3">
                  <a:lumMod val="60000"/>
                  <a:lumOff val="40000"/>
                </a:schemeClr>
              </a:solidFill>
            </c:spPr>
            <c:extLst>
              <c:ext xmlns:c16="http://schemas.microsoft.com/office/drawing/2014/chart" uri="{C3380CC4-5D6E-409C-BE32-E72D297353CC}">
                <c16:uniqueId val="{00000021-7AC6-4202-BF6C-69709D0BE73C}"/>
              </c:ext>
            </c:extLst>
          </c:dPt>
          <c:dPt>
            <c:idx val="9"/>
            <c:bubble3D val="0"/>
            <c:spPr>
              <a:solidFill>
                <a:schemeClr val="accent3">
                  <a:lumMod val="40000"/>
                  <a:lumOff val="60000"/>
                </a:schemeClr>
              </a:solidFill>
            </c:spPr>
            <c:extLst>
              <c:ext xmlns:c16="http://schemas.microsoft.com/office/drawing/2014/chart" uri="{C3380CC4-5D6E-409C-BE32-E72D297353CC}">
                <c16:uniqueId val="{00000023-7AC6-4202-BF6C-69709D0BE73C}"/>
              </c:ext>
            </c:extLst>
          </c:dPt>
          <c:dPt>
            <c:idx val="10"/>
            <c:bubble3D val="0"/>
            <c:spPr>
              <a:solidFill>
                <a:schemeClr val="accent4">
                  <a:lumMod val="40000"/>
                  <a:lumOff val="60000"/>
                </a:schemeClr>
              </a:solidFill>
            </c:spPr>
            <c:extLst>
              <c:ext xmlns:c16="http://schemas.microsoft.com/office/drawing/2014/chart" uri="{C3380CC4-5D6E-409C-BE32-E72D297353CC}">
                <c16:uniqueId val="{00000025-7AC6-4202-BF6C-69709D0BE73C}"/>
              </c:ext>
            </c:extLst>
          </c:dPt>
          <c:dLbls>
            <c:dLbl>
              <c:idx val="12"/>
              <c:delete val="1"/>
              <c:extLst>
                <c:ext xmlns:c15="http://schemas.microsoft.com/office/drawing/2012/chart" uri="{CE6537A1-D6FC-4f65-9D91-7224C49458BB}"/>
                <c:ext xmlns:c16="http://schemas.microsoft.com/office/drawing/2014/chart" uri="{C3380CC4-5D6E-409C-BE32-E72D297353CC}">
                  <c16:uniqueId val="{00000026-7AC6-4202-BF6C-69709D0BE73C}"/>
                </c:ext>
              </c:extLst>
            </c:dLbl>
            <c:spPr>
              <a:noFill/>
              <a:ln>
                <a:noFill/>
              </a:ln>
              <a:effectLst/>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1"/>
            <c:showSerName val="0"/>
            <c:showPercent val="0"/>
            <c:showBubbleSize val="0"/>
            <c:showLeaderLines val="0"/>
            <c:extLst>
              <c:ext xmlns:c15="http://schemas.microsoft.com/office/drawing/2012/chart" uri="{CE6537A1-D6FC-4f65-9D91-7224C49458BB}"/>
            </c:extLst>
          </c:dLbls>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4'!$B$4:$B$14</c:f>
              <c:numCache>
                <c:formatCode>0%</c:formatCode>
                <c:ptCount val="11"/>
                <c:pt idx="0">
                  <c:v>0.13</c:v>
                </c:pt>
                <c:pt idx="1">
                  <c:v>0.08</c:v>
                </c:pt>
                <c:pt idx="2">
                  <c:v>0.04</c:v>
                </c:pt>
                <c:pt idx="3">
                  <c:v>0.04</c:v>
                </c:pt>
                <c:pt idx="4">
                  <c:v>0.21</c:v>
                </c:pt>
                <c:pt idx="5">
                  <c:v>0.08</c:v>
                </c:pt>
                <c:pt idx="6">
                  <c:v>0.14000000000000001</c:v>
                </c:pt>
                <c:pt idx="7">
                  <c:v>0.02</c:v>
                </c:pt>
                <c:pt idx="8">
                  <c:v>0.04</c:v>
                </c:pt>
                <c:pt idx="9">
                  <c:v>0.13</c:v>
                </c:pt>
                <c:pt idx="10">
                  <c:v>0.09</c:v>
                </c:pt>
              </c:numCache>
            </c:numRef>
          </c:val>
          <c:extLst>
            <c:ext xmlns:c16="http://schemas.microsoft.com/office/drawing/2014/chart" uri="{C3380CC4-5D6E-409C-BE32-E72D297353CC}">
              <c16:uniqueId val="{00000027-7AC6-4202-BF6C-69709D0BE73C}"/>
            </c:ext>
          </c:extLst>
        </c:ser>
        <c:dLbls>
          <c:showLegendKey val="0"/>
          <c:showVal val="0"/>
          <c:showCatName val="0"/>
          <c:showSerName val="0"/>
          <c:showPercent val="0"/>
          <c:showBubbleSize val="0"/>
          <c:showLeaderLines val="0"/>
        </c:dLbls>
        <c:firstSliceAng val="0"/>
        <c:holeSize val="1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2'!$A$5</c:f>
              <c:strCache>
                <c:ptCount val="1"/>
                <c:pt idx="0">
                  <c:v> Préparation DUT ou BUT</c:v>
                </c:pt>
              </c:strCache>
            </c:strRef>
          </c:tx>
          <c:spPr>
            <a:ln w="25400">
              <a:solidFill>
                <a:srgbClr val="FF0000"/>
              </a:solidFill>
              <a:prstDash val="solid"/>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2'!$B$5:$L$5</c:f>
              <c:numCache>
                <c:formatCode>_-* #\ ##0.0\ _€_-;\-* #\ ##0.0\ _€_-;_-* "-"??\ _€_-;_-@_-</c:formatCode>
                <c:ptCount val="11"/>
                <c:pt idx="0">
                  <c:v>115.014</c:v>
                </c:pt>
                <c:pt idx="1">
                  <c:v>114.67700000000001</c:v>
                </c:pt>
                <c:pt idx="2">
                  <c:v>115.77800000000001</c:v>
                </c:pt>
                <c:pt idx="3">
                  <c:v>116.395</c:v>
                </c:pt>
                <c:pt idx="4">
                  <c:v>116.18300000000001</c:v>
                </c:pt>
                <c:pt idx="5">
                  <c:v>116.551</c:v>
                </c:pt>
                <c:pt idx="6">
                  <c:v>116.751</c:v>
                </c:pt>
                <c:pt idx="7">
                  <c:v>119.661</c:v>
                </c:pt>
                <c:pt idx="8">
                  <c:v>120.551</c:v>
                </c:pt>
                <c:pt idx="9">
                  <c:v>120.93</c:v>
                </c:pt>
                <c:pt idx="10">
                  <c:v>115.056</c:v>
                </c:pt>
              </c:numCache>
            </c:numRef>
          </c:val>
          <c:smooth val="0"/>
          <c:extLst>
            <c:ext xmlns:c16="http://schemas.microsoft.com/office/drawing/2014/chart" uri="{C3380CC4-5D6E-409C-BE32-E72D297353CC}">
              <c16:uniqueId val="{00000000-2EA2-48C0-9B7B-EDB5BDA3AFCB}"/>
            </c:ext>
          </c:extLst>
        </c:ser>
        <c:ser>
          <c:idx val="1"/>
          <c:order val="1"/>
          <c:tx>
            <c:strRef>
              <c:f>'Graphique 2'!$A$6</c:f>
              <c:strCache>
                <c:ptCount val="1"/>
                <c:pt idx="0">
                  <c:v>Formations d'ingénieurs (yc en partenariat)</c:v>
                </c:pt>
              </c:strCache>
            </c:strRef>
          </c:tx>
          <c:spPr>
            <a:ln w="25400">
              <a:solidFill>
                <a:schemeClr val="tx2">
                  <a:lumMod val="60000"/>
                  <a:lumOff val="40000"/>
                </a:schemeClr>
              </a:solidFill>
              <a:prstDash val="solid"/>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2'!$B$6:$L$6</c:f>
              <c:numCache>
                <c:formatCode>_-* #\ ##0.0\ _€_-;\-* #\ ##0.0\ _€_-;_-* "-"??\ _€_-;_-@_-</c:formatCode>
                <c:ptCount val="11"/>
                <c:pt idx="0">
                  <c:v>130.41999999999999</c:v>
                </c:pt>
                <c:pt idx="1">
                  <c:v>134.333</c:v>
                </c:pt>
                <c:pt idx="2">
                  <c:v>137.30500000000001</c:v>
                </c:pt>
                <c:pt idx="3">
                  <c:v>141.54499999999999</c:v>
                </c:pt>
                <c:pt idx="4">
                  <c:v>146.429</c:v>
                </c:pt>
                <c:pt idx="5">
                  <c:v>152.476</c:v>
                </c:pt>
                <c:pt idx="6">
                  <c:v>158.767</c:v>
                </c:pt>
                <c:pt idx="7">
                  <c:v>164.17699999999999</c:v>
                </c:pt>
                <c:pt idx="8">
                  <c:v>167.547</c:v>
                </c:pt>
                <c:pt idx="9">
                  <c:v>171.92500000000001</c:v>
                </c:pt>
                <c:pt idx="10">
                  <c:v>175.95499999999998</c:v>
                </c:pt>
              </c:numCache>
            </c:numRef>
          </c:val>
          <c:smooth val="0"/>
          <c:extLst>
            <c:ext xmlns:c16="http://schemas.microsoft.com/office/drawing/2014/chart" uri="{C3380CC4-5D6E-409C-BE32-E72D297353CC}">
              <c16:uniqueId val="{00000001-2EA2-48C0-9B7B-EDB5BDA3AFCB}"/>
            </c:ext>
          </c:extLst>
        </c:ser>
        <c:ser>
          <c:idx val="2"/>
          <c:order val="2"/>
          <c:tx>
            <c:strRef>
              <c:f>'Graphique 2'!$A$7</c:f>
              <c:strCache>
                <c:ptCount val="1"/>
                <c:pt idx="0">
                  <c:v>STS et assimilés (scolaires) (1)</c:v>
                </c:pt>
              </c:strCache>
            </c:strRef>
          </c:tx>
          <c:spPr>
            <a:ln>
              <a:solidFill>
                <a:schemeClr val="accent6">
                  <a:lumMod val="50000"/>
                </a:schemeClr>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2'!$B$7:$L$7</c:f>
              <c:numCache>
                <c:formatCode>_-* #\ ##0.0\ _€_-;\-* #\ ##0.0\ _€_-;_-* "-"??\ _€_-;_-@_-</c:formatCode>
                <c:ptCount val="11"/>
                <c:pt idx="0">
                  <c:v>246.02500000000001</c:v>
                </c:pt>
                <c:pt idx="1">
                  <c:v>253.72900000000001</c:v>
                </c:pt>
                <c:pt idx="2">
                  <c:v>254.96700000000001</c:v>
                </c:pt>
                <c:pt idx="3">
                  <c:v>255.27699999999999</c:v>
                </c:pt>
                <c:pt idx="4">
                  <c:v>256.06599999999997</c:v>
                </c:pt>
                <c:pt idx="5">
                  <c:v>257.24700000000001</c:v>
                </c:pt>
                <c:pt idx="6">
                  <c:v>256.56299999999999</c:v>
                </c:pt>
                <c:pt idx="7">
                  <c:v>262.62599999999998</c:v>
                </c:pt>
                <c:pt idx="8">
                  <c:v>262.49799999999999</c:v>
                </c:pt>
                <c:pt idx="9">
                  <c:v>267.35000000000002</c:v>
                </c:pt>
                <c:pt idx="10">
                  <c:v>252.041</c:v>
                </c:pt>
              </c:numCache>
            </c:numRef>
          </c:val>
          <c:smooth val="0"/>
          <c:extLst>
            <c:ext xmlns:c16="http://schemas.microsoft.com/office/drawing/2014/chart" uri="{C3380CC4-5D6E-409C-BE32-E72D297353CC}">
              <c16:uniqueId val="{00000002-2EA2-48C0-9B7B-EDB5BDA3AFCB}"/>
            </c:ext>
          </c:extLst>
        </c:ser>
        <c:ser>
          <c:idx val="4"/>
          <c:order val="3"/>
          <c:tx>
            <c:strRef>
              <c:f>'Graphique 2'!$A$9</c:f>
              <c:strCache>
                <c:ptCount val="1"/>
                <c:pt idx="0">
                  <c:v>CPGE</c:v>
                </c:pt>
              </c:strCache>
            </c:strRef>
          </c:tx>
          <c:spPr>
            <a:ln>
              <a:solidFill>
                <a:schemeClr val="accent3">
                  <a:lumMod val="75000"/>
                </a:schemeClr>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2'!$B$9:$L$9</c:f>
              <c:numCache>
                <c:formatCode>_-* #\ ##0.0\ _€_-;\-* #\ ##0.0\ _€_-;_-* "-"??\ _€_-;_-@_-</c:formatCode>
                <c:ptCount val="11"/>
                <c:pt idx="0">
                  <c:v>80.411000000000001</c:v>
                </c:pt>
                <c:pt idx="1">
                  <c:v>82.165000000000006</c:v>
                </c:pt>
                <c:pt idx="2">
                  <c:v>83.424999999999997</c:v>
                </c:pt>
                <c:pt idx="3">
                  <c:v>84.046000000000006</c:v>
                </c:pt>
                <c:pt idx="4">
                  <c:v>85.938000000000002</c:v>
                </c:pt>
                <c:pt idx="5">
                  <c:v>86.472999999999999</c:v>
                </c:pt>
                <c:pt idx="6">
                  <c:v>86.477999999999994</c:v>
                </c:pt>
                <c:pt idx="7">
                  <c:v>85.120999999999995</c:v>
                </c:pt>
                <c:pt idx="8">
                  <c:v>85.07</c:v>
                </c:pt>
                <c:pt idx="9">
                  <c:v>84.903000000000006</c:v>
                </c:pt>
                <c:pt idx="10">
                  <c:v>83.370999999999995</c:v>
                </c:pt>
              </c:numCache>
            </c:numRef>
          </c:val>
          <c:smooth val="0"/>
          <c:extLst>
            <c:ext xmlns:c16="http://schemas.microsoft.com/office/drawing/2014/chart" uri="{C3380CC4-5D6E-409C-BE32-E72D297353CC}">
              <c16:uniqueId val="{00000004-2EA2-48C0-9B7B-EDB5BDA3AFCB}"/>
            </c:ext>
          </c:extLst>
        </c:ser>
        <c:ser>
          <c:idx val="3"/>
          <c:order val="4"/>
          <c:tx>
            <c:strRef>
              <c:f>'Graphique 2'!$A$8</c:f>
              <c:strCache>
                <c:ptCount val="1"/>
                <c:pt idx="0">
                  <c:v>STS et assimilés (apprentis)</c:v>
                </c:pt>
              </c:strCache>
            </c:strRef>
          </c:tx>
          <c:spPr>
            <a:ln>
              <a:solidFill>
                <a:srgbClr val="FFC000"/>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2'!$B$8:$L$8</c:f>
              <c:numCache>
                <c:formatCode>_-* #\ ##0.0\ _€_-;\-* #\ ##0.0\ _€_-;_-* "-"??\ _€_-;_-@_-</c:formatCode>
                <c:ptCount val="11"/>
                <c:pt idx="0">
                  <c:v>55.136000000000003</c:v>
                </c:pt>
                <c:pt idx="1">
                  <c:v>61.768999999999998</c:v>
                </c:pt>
                <c:pt idx="2">
                  <c:v>60.834000000000003</c:v>
                </c:pt>
                <c:pt idx="3">
                  <c:v>58.62</c:v>
                </c:pt>
                <c:pt idx="4">
                  <c:v>60.094999999999999</c:v>
                </c:pt>
                <c:pt idx="5">
                  <c:v>62.83</c:v>
                </c:pt>
                <c:pt idx="6">
                  <c:v>67.400999999999996</c:v>
                </c:pt>
                <c:pt idx="7">
                  <c:v>72.608000000000004</c:v>
                </c:pt>
                <c:pt idx="8">
                  <c:v>79.225999999999999</c:v>
                </c:pt>
                <c:pt idx="9">
                  <c:v>109.48</c:v>
                </c:pt>
                <c:pt idx="10">
                  <c:v>156.82400000000001</c:v>
                </c:pt>
              </c:numCache>
            </c:numRef>
          </c:val>
          <c:smooth val="0"/>
          <c:extLst>
            <c:ext xmlns:c16="http://schemas.microsoft.com/office/drawing/2014/chart" uri="{C3380CC4-5D6E-409C-BE32-E72D297353CC}">
              <c16:uniqueId val="{00000003-2EA2-48C0-9B7B-EDB5BDA3AFCB}"/>
            </c:ext>
          </c:extLst>
        </c:ser>
        <c:ser>
          <c:idx val="5"/>
          <c:order val="5"/>
          <c:tx>
            <c:strRef>
              <c:f>'Graphique 2'!$A$10</c:f>
              <c:strCache>
                <c:ptCount val="1"/>
                <c:pt idx="0">
                  <c:v>Ecoles de commerce, gestion et comptabilité (hors STS)</c:v>
                </c:pt>
              </c:strCache>
            </c:strRef>
          </c:tx>
          <c:spPr>
            <a:ln>
              <a:solidFill>
                <a:srgbClr val="FF00FF"/>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2'!$B$10:$L$10</c:f>
              <c:numCache>
                <c:formatCode>_-* #\ ##0.0\ _€_-;\-* #\ ##0.0\ _€_-;_-* "-"??\ _€_-;_-@_-</c:formatCode>
                <c:ptCount val="11"/>
                <c:pt idx="0">
                  <c:v>126.69799999999999</c:v>
                </c:pt>
                <c:pt idx="1">
                  <c:v>131.04300000000001</c:v>
                </c:pt>
                <c:pt idx="2">
                  <c:v>134.17699999999999</c:v>
                </c:pt>
                <c:pt idx="3">
                  <c:v>134.32900000000001</c:v>
                </c:pt>
                <c:pt idx="4">
                  <c:v>136.244</c:v>
                </c:pt>
                <c:pt idx="5">
                  <c:v>152.08000000000001</c:v>
                </c:pt>
                <c:pt idx="6">
                  <c:v>174.09200000000001</c:v>
                </c:pt>
                <c:pt idx="7">
                  <c:v>187.428</c:v>
                </c:pt>
                <c:pt idx="8">
                  <c:v>199.22499999999999</c:v>
                </c:pt>
                <c:pt idx="9">
                  <c:v>219.33699999999999</c:v>
                </c:pt>
                <c:pt idx="10">
                  <c:v>239.14599999999999</c:v>
                </c:pt>
              </c:numCache>
            </c:numRef>
          </c:val>
          <c:smooth val="0"/>
          <c:extLst>
            <c:ext xmlns:c16="http://schemas.microsoft.com/office/drawing/2014/chart" uri="{C3380CC4-5D6E-409C-BE32-E72D297353CC}">
              <c16:uniqueId val="{00000005-2EA2-48C0-9B7B-EDB5BDA3AFCB}"/>
            </c:ext>
          </c:extLst>
        </c:ser>
        <c:ser>
          <c:idx val="6"/>
          <c:order val="6"/>
          <c:tx>
            <c:strRef>
              <c:f>'Graphique 2'!$A$11</c:f>
              <c:strCache>
                <c:ptCount val="1"/>
                <c:pt idx="0">
                  <c:v>Ecoles paramédicales et sociales (2)</c:v>
                </c:pt>
              </c:strCache>
            </c:strRef>
          </c:tx>
          <c:spPr>
            <a:ln>
              <a:solidFill>
                <a:sysClr val="windowText" lastClr="000000"/>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2'!$B$11:$L$11</c:f>
              <c:numCache>
                <c:formatCode>_-* #\ ##0.0\ _€_-;\-* #\ ##0.0\ _€_-;_-* "-"??\ _€_-;_-@_-</c:formatCode>
                <c:ptCount val="11"/>
                <c:pt idx="0">
                  <c:v>140.6</c:v>
                </c:pt>
                <c:pt idx="1">
                  <c:v>132.9</c:v>
                </c:pt>
                <c:pt idx="2">
                  <c:v>135.1</c:v>
                </c:pt>
                <c:pt idx="3">
                  <c:v>135.44900000000001</c:v>
                </c:pt>
                <c:pt idx="4">
                  <c:v>135.17599999999999</c:v>
                </c:pt>
                <c:pt idx="5">
                  <c:v>135.08000000000001</c:v>
                </c:pt>
                <c:pt idx="6">
                  <c:v>134.75800000000001</c:v>
                </c:pt>
                <c:pt idx="7">
                  <c:v>138.62</c:v>
                </c:pt>
                <c:pt idx="8">
                  <c:v>140.613</c:v>
                </c:pt>
                <c:pt idx="9">
                  <c:v>142.041</c:v>
                </c:pt>
                <c:pt idx="10">
                  <c:v>141.66300000000001</c:v>
                </c:pt>
              </c:numCache>
            </c:numRef>
          </c:val>
          <c:smooth val="0"/>
          <c:extLst>
            <c:ext xmlns:c16="http://schemas.microsoft.com/office/drawing/2014/chart" uri="{C3380CC4-5D6E-409C-BE32-E72D297353CC}">
              <c16:uniqueId val="{00000006-2EA2-48C0-9B7B-EDB5BDA3AFCB}"/>
            </c:ext>
          </c:extLst>
        </c:ser>
        <c:ser>
          <c:idx val="7"/>
          <c:order val="7"/>
          <c:tx>
            <c:strRef>
              <c:f>'Graphique 2'!$A$12</c:f>
              <c:strCache>
                <c:ptCount val="1"/>
                <c:pt idx="0">
                  <c:v>Autre Formations (hors université)</c:v>
                </c:pt>
              </c:strCache>
            </c:strRef>
          </c:tx>
          <c:spPr>
            <a:ln>
              <a:solidFill>
                <a:schemeClr val="bg1">
                  <a:lumMod val="65000"/>
                </a:schemeClr>
              </a:solidFill>
            </a:ln>
          </c:spPr>
          <c:marker>
            <c:symbol val="none"/>
          </c:marker>
          <c:cat>
            <c:strRef>
              <c:f>'Graphique 2'!$B$4:$L$4</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'Graphique 2'!$B$12:$L$12</c:f>
              <c:numCache>
                <c:formatCode>_-* #\ ##0.0\ _€_-;\-* #\ ##0.0\ _€_-;_-* "-"??\ _€_-;_-@_-</c:formatCode>
                <c:ptCount val="11"/>
                <c:pt idx="0">
                  <c:v>200.72300000000001</c:v>
                </c:pt>
                <c:pt idx="1">
                  <c:v>207.45</c:v>
                </c:pt>
                <c:pt idx="2">
                  <c:v>213.35400000000001</c:v>
                </c:pt>
                <c:pt idx="3">
                  <c:v>215.52099999999999</c:v>
                </c:pt>
                <c:pt idx="4">
                  <c:v>226.173</c:v>
                </c:pt>
                <c:pt idx="5">
                  <c:v>231.97399999999999</c:v>
                </c:pt>
                <c:pt idx="6">
                  <c:v>256.786</c:v>
                </c:pt>
                <c:pt idx="7">
                  <c:v>260.11599999999999</c:v>
                </c:pt>
                <c:pt idx="8">
                  <c:v>269.24700000000001</c:v>
                </c:pt>
                <c:pt idx="9">
                  <c:v>281.637</c:v>
                </c:pt>
                <c:pt idx="10">
                  <c:v>294.47300000000001</c:v>
                </c:pt>
              </c:numCache>
            </c:numRef>
          </c:val>
          <c:smooth val="0"/>
          <c:extLst>
            <c:ext xmlns:c16="http://schemas.microsoft.com/office/drawing/2014/chart" uri="{C3380CC4-5D6E-409C-BE32-E72D297353CC}">
              <c16:uniqueId val="{00000007-2EA2-48C0-9B7B-EDB5BDA3AFCB}"/>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00"/>
          <c:min val="5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4.292856791298213E-3"/>
          <c:y val="0.77977044948589347"/>
          <c:w val="0.97091375732121465"/>
          <c:h val="0.14761137502440297"/>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90717424178951545"/>
          <c:h val="0.77011571829383474"/>
        </c:manualLayout>
      </c:layout>
      <c:lineChart>
        <c:grouping val="standard"/>
        <c:varyColors val="0"/>
        <c:ser>
          <c:idx val="0"/>
          <c:order val="0"/>
          <c:tx>
            <c:strRef>
              <c:f>'Graphique 3'!$B$5</c:f>
              <c:strCache>
                <c:ptCount val="1"/>
                <c:pt idx="0">
                  <c:v>Public MESR (1)</c:v>
                </c:pt>
              </c:strCache>
            </c:strRef>
          </c:tx>
          <c:spPr>
            <a:ln w="25400">
              <a:solidFill>
                <a:srgbClr val="7030A0"/>
              </a:solidFill>
              <a:prstDash val="solid"/>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3'!$B$6:$B$17</c:f>
              <c:numCache>
                <c:formatCode>#\ ##0.0</c:formatCode>
                <c:ptCount val="12"/>
                <c:pt idx="0">
                  <c:v>100</c:v>
                </c:pt>
                <c:pt idx="1">
                  <c:v>101.03175043513923</c:v>
                </c:pt>
                <c:pt idx="2">
                  <c:v>102.27284817001289</c:v>
                </c:pt>
                <c:pt idx="3">
                  <c:v>104.4899275921457</c:v>
                </c:pt>
                <c:pt idx="4">
                  <c:v>106.43479832590799</c:v>
                </c:pt>
                <c:pt idx="5">
                  <c:v>109.22232054045922</c:v>
                </c:pt>
                <c:pt idx="6">
                  <c:v>110.69667463826102</c:v>
                </c:pt>
                <c:pt idx="7">
                  <c:v>111.66945319743681</c:v>
                </c:pt>
                <c:pt idx="8">
                  <c:v>113.79066757193168</c:v>
                </c:pt>
                <c:pt idx="9">
                  <c:v>115.06099385056606</c:v>
                </c:pt>
                <c:pt idx="10">
                  <c:v>116.73943296625104</c:v>
                </c:pt>
                <c:pt idx="11">
                  <c:v>116.98252750829238</c:v>
                </c:pt>
              </c:numCache>
            </c:numRef>
          </c:val>
          <c:smooth val="0"/>
          <c:extLst>
            <c:ext xmlns:c16="http://schemas.microsoft.com/office/drawing/2014/chart" uri="{C3380CC4-5D6E-409C-BE32-E72D297353CC}">
              <c16:uniqueId val="{00000000-753A-4527-999E-9F5A5FCAA151}"/>
            </c:ext>
          </c:extLst>
        </c:ser>
        <c:ser>
          <c:idx val="1"/>
          <c:order val="1"/>
          <c:tx>
            <c:strRef>
              <c:f>'Graphique 3'!$C$5</c:f>
              <c:strCache>
                <c:ptCount val="1"/>
                <c:pt idx="0">
                  <c:v>Public hors MESR (1)</c:v>
                </c:pt>
              </c:strCache>
            </c:strRef>
          </c:tx>
          <c:spPr>
            <a:ln w="25400">
              <a:solidFill>
                <a:schemeClr val="bg1">
                  <a:lumMod val="50000"/>
                </a:schemeClr>
              </a:solidFill>
              <a:prstDash val="solid"/>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3'!$C$6:$C$17</c:f>
              <c:numCache>
                <c:formatCode>#\ ##0.0</c:formatCode>
                <c:ptCount val="12"/>
                <c:pt idx="0">
                  <c:v>100</c:v>
                </c:pt>
                <c:pt idx="1">
                  <c:v>102.26686839695846</c:v>
                </c:pt>
                <c:pt idx="2">
                  <c:v>105.29412146674372</c:v>
                </c:pt>
                <c:pt idx="3">
                  <c:v>102.82205959701561</c:v>
                </c:pt>
                <c:pt idx="4">
                  <c:v>109.65058668450204</c:v>
                </c:pt>
                <c:pt idx="5">
                  <c:v>109.46487360471686</c:v>
                </c:pt>
                <c:pt idx="6">
                  <c:v>107.45060097012357</c:v>
                </c:pt>
                <c:pt idx="7">
                  <c:v>111.54797696118857</c:v>
                </c:pt>
                <c:pt idx="8">
                  <c:v>113.67198914292764</c:v>
                </c:pt>
                <c:pt idx="9">
                  <c:v>115.68496308465529</c:v>
                </c:pt>
                <c:pt idx="10">
                  <c:v>119.76870280063116</c:v>
                </c:pt>
                <c:pt idx="11">
                  <c:v>121.39726365413212</c:v>
                </c:pt>
              </c:numCache>
            </c:numRef>
          </c:val>
          <c:smooth val="0"/>
          <c:extLst>
            <c:ext xmlns:c16="http://schemas.microsoft.com/office/drawing/2014/chart" uri="{C3380CC4-5D6E-409C-BE32-E72D297353CC}">
              <c16:uniqueId val="{00000001-753A-4527-999E-9F5A5FCAA151}"/>
            </c:ext>
          </c:extLst>
        </c:ser>
        <c:ser>
          <c:idx val="2"/>
          <c:order val="2"/>
          <c:tx>
            <c:strRef>
              <c:f>'Graphique 3'!$D$5</c:f>
              <c:strCache>
                <c:ptCount val="1"/>
                <c:pt idx="0">
                  <c:v>Privé</c:v>
                </c:pt>
              </c:strCache>
            </c:strRef>
          </c:tx>
          <c:spPr>
            <a:ln w="25400">
              <a:solidFill>
                <a:schemeClr val="tx1"/>
              </a:solidFill>
              <a:prstDash val="solid"/>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3'!$D$6:$D$17</c:f>
              <c:numCache>
                <c:formatCode>#\ ##0.0</c:formatCode>
                <c:ptCount val="12"/>
                <c:pt idx="0">
                  <c:v>100</c:v>
                </c:pt>
                <c:pt idx="1">
                  <c:v>103.2037627094372</c:v>
                </c:pt>
                <c:pt idx="2">
                  <c:v>105.47758842904196</c:v>
                </c:pt>
                <c:pt idx="3">
                  <c:v>108.63883717599886</c:v>
                </c:pt>
                <c:pt idx="4">
                  <c:v>106.98974294715738</c:v>
                </c:pt>
                <c:pt idx="5">
                  <c:v>110.04291672633539</c:v>
                </c:pt>
                <c:pt idx="6">
                  <c:v>115.58002470284978</c:v>
                </c:pt>
                <c:pt idx="7">
                  <c:v>126.58353322354289</c:v>
                </c:pt>
                <c:pt idx="8">
                  <c:v>132.04791994844624</c:v>
                </c:pt>
                <c:pt idx="9">
                  <c:v>138.11331984820279</c:v>
                </c:pt>
                <c:pt idx="10">
                  <c:v>149.94092796792211</c:v>
                </c:pt>
                <c:pt idx="11">
                  <c:v>164.86198625232709</c:v>
                </c:pt>
              </c:numCache>
            </c:numRef>
          </c:val>
          <c:smooth val="0"/>
          <c:extLst>
            <c:ext xmlns:c16="http://schemas.microsoft.com/office/drawing/2014/chart" uri="{C3380CC4-5D6E-409C-BE32-E72D297353CC}">
              <c16:uniqueId val="{00000002-753A-4527-999E-9F5A5FCAA151}"/>
            </c:ext>
          </c:extLst>
        </c:ser>
        <c:ser>
          <c:idx val="3"/>
          <c:order val="3"/>
          <c:tx>
            <c:strRef>
              <c:f>'Graphique 3'!$E$5</c:f>
              <c:strCache>
                <c:ptCount val="1"/>
                <c:pt idx="0">
                  <c:v>Public</c:v>
                </c:pt>
              </c:strCache>
            </c:strRef>
          </c:tx>
          <c:spPr>
            <a:ln w="25400">
              <a:solidFill>
                <a:srgbClr val="00FFFF"/>
              </a:solidFill>
              <a:prstDash val="solid"/>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3'!$E$6:$E$17</c:f>
              <c:numCache>
                <c:formatCode>#\ ##0.0</c:formatCode>
                <c:ptCount val="12"/>
                <c:pt idx="0">
                  <c:v>100</c:v>
                </c:pt>
                <c:pt idx="1">
                  <c:v>101.13174002729339</c:v>
                </c:pt>
                <c:pt idx="2">
                  <c:v>102.51743686037685</c:v>
                </c:pt>
                <c:pt idx="3">
                  <c:v>104.35490450467121</c:v>
                </c:pt>
                <c:pt idx="4">
                  <c:v>106.69513408036201</c:v>
                </c:pt>
                <c:pt idx="5">
                  <c:v>109.24195654505196</c:v>
                </c:pt>
                <c:pt idx="6">
                  <c:v>110.43388712143036</c:v>
                </c:pt>
                <c:pt idx="7">
                  <c:v>111.6596190279936</c:v>
                </c:pt>
                <c:pt idx="8">
                  <c:v>113.78105990037281</c:v>
                </c:pt>
                <c:pt idx="9">
                  <c:v>115.11150759189441</c:v>
                </c:pt>
                <c:pt idx="10">
                  <c:v>116.98466902031865</c:v>
                </c:pt>
                <c:pt idx="11">
                  <c:v>117.33992468033298</c:v>
                </c:pt>
              </c:numCache>
            </c:numRef>
          </c:val>
          <c:smooth val="0"/>
          <c:extLst>
            <c:ext xmlns:c16="http://schemas.microsoft.com/office/drawing/2014/chart" uri="{C3380CC4-5D6E-409C-BE32-E72D297353CC}">
              <c16:uniqueId val="{00000003-753A-4527-999E-9F5A5FCAA151}"/>
            </c:ext>
          </c:extLst>
        </c:ser>
        <c:ser>
          <c:idx val="4"/>
          <c:order val="4"/>
          <c:tx>
            <c:strRef>
              <c:f>'Graphique 3'!$F$5</c:f>
              <c:strCache>
                <c:ptCount val="1"/>
                <c:pt idx="0">
                  <c:v>Ensemble</c:v>
                </c:pt>
              </c:strCache>
            </c:strRef>
          </c:tx>
          <c:spPr>
            <a:ln w="25400">
              <a:solidFill>
                <a:srgbClr val="0070C0"/>
              </a:solidFill>
              <a:prstDash val="solid"/>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3'!$F$6:$F$17</c:f>
              <c:numCache>
                <c:formatCode>#\ ##0.0</c:formatCode>
                <c:ptCount val="12"/>
                <c:pt idx="0">
                  <c:v>100</c:v>
                </c:pt>
                <c:pt idx="1">
                  <c:v>101.52592112051572</c:v>
                </c:pt>
                <c:pt idx="2">
                  <c:v>103.08057537787268</c:v>
                </c:pt>
                <c:pt idx="3">
                  <c:v>105.16987881852747</c:v>
                </c:pt>
                <c:pt idx="4">
                  <c:v>106.75118039982905</c:v>
                </c:pt>
                <c:pt idx="5">
                  <c:v>109.39433101595263</c:v>
                </c:pt>
                <c:pt idx="6">
                  <c:v>111.41288708856277</c:v>
                </c:pt>
                <c:pt idx="7">
                  <c:v>114.4987408500922</c:v>
                </c:pt>
                <c:pt idx="8">
                  <c:v>117.2561429318186</c:v>
                </c:pt>
                <c:pt idx="9">
                  <c:v>119.48736678466408</c:v>
                </c:pt>
                <c:pt idx="10">
                  <c:v>123.25425974074622</c:v>
                </c:pt>
                <c:pt idx="11">
                  <c:v>126.38051016429395</c:v>
                </c:pt>
              </c:numCache>
            </c:numRef>
          </c:val>
          <c:smooth val="0"/>
          <c:extLst>
            <c:ext xmlns:c16="http://schemas.microsoft.com/office/drawing/2014/chart" uri="{C3380CC4-5D6E-409C-BE32-E72D297353CC}">
              <c16:uniqueId val="{00000004-753A-4527-999E-9F5A5FCAA151}"/>
            </c:ext>
          </c:extLst>
        </c:ser>
        <c:ser>
          <c:idx val="5"/>
          <c:order val="5"/>
          <c:tx>
            <c:strRef>
              <c:f>'Graphique 3'!$H$5</c:f>
              <c:strCache>
                <c:ptCount val="1"/>
                <c:pt idx="0">
                  <c:v>Public hors MESR (à dispositif équivalent)</c:v>
                </c:pt>
              </c:strCache>
            </c:strRef>
          </c:tx>
          <c:spPr>
            <a:ln w="25400">
              <a:solidFill>
                <a:schemeClr val="bg1">
                  <a:lumMod val="50000"/>
                </a:schemeClr>
              </a:solidFill>
              <a:prstDash val="sysDash"/>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3'!$H$6:$H$17</c:f>
              <c:numCache>
                <c:formatCode>#\ ##0.0</c:formatCode>
                <c:ptCount val="12"/>
                <c:pt idx="5">
                  <c:v>109.45725660325893</c:v>
                </c:pt>
                <c:pt idx="6">
                  <c:v>106.89511387586158</c:v>
                </c:pt>
                <c:pt idx="7">
                  <c:v>109.54815877807789</c:v>
                </c:pt>
                <c:pt idx="8">
                  <c:v>113.8458837432687</c:v>
                </c:pt>
                <c:pt idx="9">
                  <c:v>114.00561185045059</c:v>
                </c:pt>
                <c:pt idx="10">
                  <c:v>118.73187563978793</c:v>
                </c:pt>
                <c:pt idx="11">
                  <c:v>120.27266750296934</c:v>
                </c:pt>
              </c:numCache>
            </c:numRef>
          </c:val>
          <c:smooth val="0"/>
          <c:extLst>
            <c:ext xmlns:c16="http://schemas.microsoft.com/office/drawing/2014/chart" uri="{C3380CC4-5D6E-409C-BE32-E72D297353CC}">
              <c16:uniqueId val="{00000005-753A-4527-999E-9F5A5FCAA151}"/>
            </c:ext>
          </c:extLst>
        </c:ser>
        <c:ser>
          <c:idx val="6"/>
          <c:order val="6"/>
          <c:tx>
            <c:strRef>
              <c:f>'Graphique 3'!$I$5</c:f>
              <c:strCache>
                <c:ptCount val="1"/>
                <c:pt idx="0">
                  <c:v>Privé (à dispositif équivalent)</c:v>
                </c:pt>
              </c:strCache>
            </c:strRef>
          </c:tx>
          <c:spPr>
            <a:ln>
              <a:solidFill>
                <a:schemeClr val="tx1"/>
              </a:solidFill>
              <a:prstDash val="sysDash"/>
            </a:ln>
          </c:spPr>
          <c:marker>
            <c:symbol val="none"/>
          </c:marker>
          <c:cat>
            <c:strRef>
              <c:f>'Graphique 3'!$A$6:$A$17</c:f>
              <c:strCache>
                <c:ptCount val="12"/>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strCache>
            </c:strRef>
          </c:cat>
          <c:val>
            <c:numRef>
              <c:f>'Graphique 3'!$I$6:$I$17</c:f>
              <c:numCache>
                <c:formatCode>#\ ##0.0</c:formatCode>
                <c:ptCount val="12"/>
                <c:pt idx="5">
                  <c:v>110.04291672633539</c:v>
                </c:pt>
                <c:pt idx="6">
                  <c:v>113.42926571674066</c:v>
                </c:pt>
                <c:pt idx="7">
                  <c:v>117.05995811255907</c:v>
                </c:pt>
                <c:pt idx="8">
                  <c:v>124.96912143777746</c:v>
                </c:pt>
                <c:pt idx="9">
                  <c:v>129.43062616354004</c:v>
                </c:pt>
                <c:pt idx="10">
                  <c:v>137.95601818702565</c:v>
                </c:pt>
                <c:pt idx="11">
                  <c:v>151.08969998567949</c:v>
                </c:pt>
              </c:numCache>
            </c:numRef>
          </c:val>
          <c:smooth val="0"/>
          <c:extLst>
            <c:ext xmlns:c16="http://schemas.microsoft.com/office/drawing/2014/chart" uri="{C3380CC4-5D6E-409C-BE32-E72D297353CC}">
              <c16:uniqueId val="{00000006-753A-4527-999E-9F5A5FCAA151}"/>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170"/>
          <c:min val="9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10"/>
      </c:valAx>
      <c:spPr>
        <a:noFill/>
        <a:ln w="12700">
          <a:solidFill>
            <a:sysClr val="windowText" lastClr="000000"/>
          </a:solidFill>
          <a:prstDash val="solid"/>
        </a:ln>
      </c:spPr>
    </c:plotArea>
    <c:legend>
      <c:legendPos val="r"/>
      <c:layout>
        <c:manualLayout>
          <c:xMode val="edge"/>
          <c:yMode val="edge"/>
          <c:x val="0.24403196947861622"/>
          <c:y val="9.4660194174757281E-2"/>
          <c:w val="0.30925511140948636"/>
          <c:h val="0.3182059131398520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95014141660997"/>
          <c:y val="0.10537936316679276"/>
          <c:w val="0.62105036450716478"/>
          <c:h val="0.81705150976909413"/>
        </c:manualLayout>
      </c:layout>
      <c:barChart>
        <c:barDir val="bar"/>
        <c:grouping val="clustered"/>
        <c:varyColors val="0"/>
        <c:ser>
          <c:idx val="0"/>
          <c:order val="0"/>
          <c:tx>
            <c:strRef>
              <c:f>'Graphique 4'!$B$3</c:f>
              <c:strCache>
                <c:ptCount val="1"/>
                <c:pt idx="0">
                  <c:v>2011-2012</c:v>
                </c:pt>
              </c:strCache>
            </c:strRef>
          </c:tx>
          <c:spPr>
            <a:solidFill>
              <a:schemeClr val="bg1">
                <a:lumMod val="65000"/>
              </a:schemeClr>
            </a:solidFill>
            <a:ln w="15875">
              <a:noFill/>
            </a:ln>
          </c:spPr>
          <c:invertIfNegative val="0"/>
          <c:dPt>
            <c:idx val="6"/>
            <c:invertIfNegative val="0"/>
            <c:bubble3D val="0"/>
            <c:spPr>
              <a:solidFill>
                <a:schemeClr val="bg1">
                  <a:lumMod val="65000"/>
                </a:schemeClr>
              </a:solidFill>
              <a:ln w="25400">
                <a:noFill/>
              </a:ln>
            </c:spPr>
            <c:extLst>
              <c:ext xmlns:c16="http://schemas.microsoft.com/office/drawing/2014/chart" uri="{C3380CC4-5D6E-409C-BE32-E72D297353CC}">
                <c16:uniqueId val="{00000001-0E43-4030-8139-707B662A7971}"/>
              </c:ext>
            </c:extLst>
          </c:dPt>
          <c:dPt>
            <c:idx val="7"/>
            <c:invertIfNegative val="0"/>
            <c:bubble3D val="0"/>
            <c:spPr>
              <a:solidFill>
                <a:schemeClr val="bg1">
                  <a:lumMod val="65000"/>
                </a:schemeClr>
              </a:solidFill>
              <a:ln w="15875">
                <a:solidFill>
                  <a:sysClr val="windowText" lastClr="000000"/>
                </a:solidFill>
              </a:ln>
            </c:spPr>
            <c:extLst>
              <c:ext xmlns:c16="http://schemas.microsoft.com/office/drawing/2014/chart" uri="{C3380CC4-5D6E-409C-BE32-E72D297353CC}">
                <c16:uniqueId val="{00000007-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4'!$A$4:$A$16</c:f>
              <c:strCache>
                <c:ptCount val="13"/>
                <c:pt idx="0">
                  <c:v>Formations d'ingénieurs (2)</c:v>
                </c:pt>
                <c:pt idx="1">
                  <c:v>Préparation DUT ou BUT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DUT ou BUT)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4'!$B$4:$B$16</c:f>
              <c:numCache>
                <c:formatCode>0.0</c:formatCode>
                <c:ptCount val="13"/>
                <c:pt idx="0">
                  <c:v>26.47</c:v>
                </c:pt>
                <c:pt idx="1">
                  <c:v>39.83</c:v>
                </c:pt>
                <c:pt idx="2">
                  <c:v>41.89</c:v>
                </c:pt>
                <c:pt idx="3">
                  <c:v>37.96</c:v>
                </c:pt>
                <c:pt idx="4">
                  <c:v>37.479999999999997</c:v>
                </c:pt>
                <c:pt idx="5">
                  <c:v>51.1</c:v>
                </c:pt>
                <c:pt idx="6">
                  <c:v>49.61</c:v>
                </c:pt>
                <c:pt idx="7">
                  <c:v>55.185822022254449</c:v>
                </c:pt>
                <c:pt idx="8">
                  <c:v>58.59</c:v>
                </c:pt>
                <c:pt idx="9">
                  <c:v>59.21</c:v>
                </c:pt>
                <c:pt idx="10">
                  <c:v>62.96</c:v>
                </c:pt>
                <c:pt idx="11">
                  <c:v>70.349999999999994</c:v>
                </c:pt>
                <c:pt idx="12">
                  <c:v>83.52</c:v>
                </c:pt>
              </c:numCache>
            </c:numRef>
          </c:val>
          <c:extLst>
            <c:ext xmlns:c16="http://schemas.microsoft.com/office/drawing/2014/chart" uri="{C3380CC4-5D6E-409C-BE32-E72D297353CC}">
              <c16:uniqueId val="{00000002-0E43-4030-8139-707B662A7971}"/>
            </c:ext>
          </c:extLst>
        </c:ser>
        <c:ser>
          <c:idx val="1"/>
          <c:order val="1"/>
          <c:tx>
            <c:strRef>
              <c:f>'Graphique 4'!$C$3</c:f>
              <c:strCache>
                <c:ptCount val="1"/>
                <c:pt idx="0">
                  <c:v>2021-2022</c:v>
                </c:pt>
              </c:strCache>
            </c:strRef>
          </c:tx>
          <c:spPr>
            <a:solidFill>
              <a:schemeClr val="accent5">
                <a:lumMod val="75000"/>
              </a:schemeClr>
            </a:solidFill>
            <a:ln>
              <a:noFill/>
            </a:ln>
          </c:spPr>
          <c:invertIfNegative val="0"/>
          <c:dPt>
            <c:idx val="6"/>
            <c:invertIfNegative val="0"/>
            <c:bubble3D val="0"/>
            <c:spPr>
              <a:solidFill>
                <a:schemeClr val="accent5">
                  <a:lumMod val="75000"/>
                </a:schemeClr>
              </a:solidFill>
              <a:ln w="22225">
                <a:noFill/>
              </a:ln>
            </c:spPr>
            <c:extLst>
              <c:ext xmlns:c16="http://schemas.microsoft.com/office/drawing/2014/chart" uri="{C3380CC4-5D6E-409C-BE32-E72D297353CC}">
                <c16:uniqueId val="{00000004-0E43-4030-8139-707B662A7971}"/>
              </c:ext>
            </c:extLst>
          </c:dPt>
          <c:dPt>
            <c:idx val="7"/>
            <c:invertIfNegative val="0"/>
            <c:bubble3D val="0"/>
            <c:spPr>
              <a:solidFill>
                <a:schemeClr val="accent5">
                  <a:lumMod val="75000"/>
                </a:schemeClr>
              </a:solidFill>
              <a:ln w="19050">
                <a:solidFill>
                  <a:sysClr val="windowText" lastClr="000000"/>
                </a:solidFill>
              </a:ln>
            </c:spPr>
            <c:extLst>
              <c:ext xmlns:c16="http://schemas.microsoft.com/office/drawing/2014/chart" uri="{C3380CC4-5D6E-409C-BE32-E72D297353CC}">
                <c16:uniqueId val="{00000005-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4'!$A$4:$A$16</c:f>
              <c:strCache>
                <c:ptCount val="13"/>
                <c:pt idx="0">
                  <c:v>Formations d'ingénieurs (2)</c:v>
                </c:pt>
                <c:pt idx="1">
                  <c:v>Préparation DUT ou BUT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DUT ou BUT)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4'!$C$4:$C$16</c:f>
              <c:numCache>
                <c:formatCode>0.0</c:formatCode>
                <c:ptCount val="13"/>
                <c:pt idx="0">
                  <c:v>29.2</c:v>
                </c:pt>
                <c:pt idx="1">
                  <c:v>40.049999999999997</c:v>
                </c:pt>
                <c:pt idx="2">
                  <c:v>41.28</c:v>
                </c:pt>
                <c:pt idx="3">
                  <c:v>42.32</c:v>
                </c:pt>
                <c:pt idx="4">
                  <c:v>43.21</c:v>
                </c:pt>
                <c:pt idx="5">
                  <c:v>48.49</c:v>
                </c:pt>
                <c:pt idx="6">
                  <c:v>51.38</c:v>
                </c:pt>
                <c:pt idx="7">
                  <c:v>55.609619068918967</c:v>
                </c:pt>
                <c:pt idx="8">
                  <c:v>60.25</c:v>
                </c:pt>
                <c:pt idx="9">
                  <c:v>62.26</c:v>
                </c:pt>
                <c:pt idx="10">
                  <c:v>66.05</c:v>
                </c:pt>
                <c:pt idx="11">
                  <c:v>70.22</c:v>
                </c:pt>
                <c:pt idx="12">
                  <c:v>86.72</c:v>
                </c:pt>
              </c:numCache>
            </c:numRef>
          </c:val>
          <c:extLst>
            <c:ext xmlns:c16="http://schemas.microsoft.com/office/drawing/2014/chart" uri="{C3380CC4-5D6E-409C-BE32-E72D297353CC}">
              <c16:uniqueId val="{00000005-0E43-4030-8139-707B662A7971}"/>
            </c:ext>
          </c:extLst>
        </c:ser>
        <c:dLbls>
          <c:dLblPos val="outEnd"/>
          <c:showLegendKey val="0"/>
          <c:showVal val="1"/>
          <c:showCatName val="0"/>
          <c:showSerName val="0"/>
          <c:showPercent val="0"/>
          <c:showBubbleSize val="0"/>
        </c:dLbls>
        <c:gapWidth val="150"/>
        <c:axId val="171015552"/>
        <c:axId val="171021440"/>
      </c:barChart>
      <c:catAx>
        <c:axId val="171015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21440"/>
        <c:crosses val="autoZero"/>
        <c:auto val="1"/>
        <c:lblAlgn val="ctr"/>
        <c:lblOffset val="100"/>
        <c:tickLblSkip val="1"/>
        <c:tickMarkSkip val="1"/>
        <c:noMultiLvlLbl val="0"/>
      </c:catAx>
      <c:valAx>
        <c:axId val="171021440"/>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15552"/>
        <c:crosses val="autoZero"/>
        <c:crossBetween val="between"/>
      </c:valAx>
    </c:plotArea>
    <c:legend>
      <c:legendPos val="r"/>
      <c:layout>
        <c:manualLayout>
          <c:xMode val="edge"/>
          <c:yMode val="edge"/>
          <c:x val="0.85321694148076299"/>
          <c:y val="0.41385434471936555"/>
          <c:w val="8.2444228903976721E-2"/>
          <c:h val="7.7505907846928387E-2"/>
        </c:manualLayout>
      </c:layout>
      <c:overlay val="0"/>
      <c:spPr>
        <a:noFill/>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5'!$C$3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5'!$C$4:$C$21</c:f>
              <c:numCache>
                <c:formatCode>0.0</c:formatCode>
                <c:ptCount val="18"/>
                <c:pt idx="0">
                  <c:v>10.3616782179314</c:v>
                </c:pt>
                <c:pt idx="2">
                  <c:v>11.7</c:v>
                </c:pt>
                <c:pt idx="3">
                  <c:v>15.13</c:v>
                </c:pt>
                <c:pt idx="5">
                  <c:v>8.81</c:v>
                </c:pt>
                <c:pt idx="6">
                  <c:v>8.4700000000000006</c:v>
                </c:pt>
                <c:pt idx="7">
                  <c:v>7.65</c:v>
                </c:pt>
                <c:pt idx="8">
                  <c:v>10.37</c:v>
                </c:pt>
                <c:pt idx="9">
                  <c:v>9.77</c:v>
                </c:pt>
                <c:pt idx="10">
                  <c:v>8.81</c:v>
                </c:pt>
                <c:pt idx="11">
                  <c:v>9.91</c:v>
                </c:pt>
                <c:pt idx="12">
                  <c:v>8.49</c:v>
                </c:pt>
                <c:pt idx="13">
                  <c:v>8.76</c:v>
                </c:pt>
                <c:pt idx="15">
                  <c:v>10.39</c:v>
                </c:pt>
                <c:pt idx="16">
                  <c:v>11.63</c:v>
                </c:pt>
                <c:pt idx="17">
                  <c:v>6.84</c:v>
                </c:pt>
              </c:numCache>
            </c:numRef>
          </c:val>
          <c:extLst>
            <c:ext xmlns:c16="http://schemas.microsoft.com/office/drawing/2014/chart" uri="{C3380CC4-5D6E-409C-BE32-E72D297353CC}">
              <c16:uniqueId val="{00000000-C74E-4238-863F-01E4A97A4A56}"/>
            </c:ext>
          </c:extLst>
        </c:ser>
        <c:ser>
          <c:idx val="1"/>
          <c:order val="1"/>
          <c:tx>
            <c:strRef>
              <c:f>'Graphique 5'!$D$3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5'!$D$4:$D$21</c:f>
              <c:numCache>
                <c:formatCode>0.0</c:formatCode>
                <c:ptCount val="18"/>
                <c:pt idx="0">
                  <c:v>33.860290589963313</c:v>
                </c:pt>
                <c:pt idx="2">
                  <c:v>15.53</c:v>
                </c:pt>
                <c:pt idx="3">
                  <c:v>23.49</c:v>
                </c:pt>
                <c:pt idx="5">
                  <c:v>33.090000000000003</c:v>
                </c:pt>
                <c:pt idx="6">
                  <c:v>30.38</c:v>
                </c:pt>
                <c:pt idx="7">
                  <c:v>26.8</c:v>
                </c:pt>
                <c:pt idx="8">
                  <c:v>28.14</c:v>
                </c:pt>
                <c:pt idx="9">
                  <c:v>30.35</c:v>
                </c:pt>
                <c:pt idx="10">
                  <c:v>33.65</c:v>
                </c:pt>
                <c:pt idx="11">
                  <c:v>36.299999999999997</c:v>
                </c:pt>
                <c:pt idx="12">
                  <c:v>45.12</c:v>
                </c:pt>
                <c:pt idx="13">
                  <c:v>48.8</c:v>
                </c:pt>
                <c:pt idx="15">
                  <c:v>53.11</c:v>
                </c:pt>
                <c:pt idx="16">
                  <c:v>55.17</c:v>
                </c:pt>
                <c:pt idx="17">
                  <c:v>62.64</c:v>
                </c:pt>
              </c:numCache>
            </c:numRef>
          </c:val>
          <c:extLst>
            <c:ext xmlns:c16="http://schemas.microsoft.com/office/drawing/2014/chart" uri="{C3380CC4-5D6E-409C-BE32-E72D297353CC}">
              <c16:uniqueId val="{00000001-C74E-4238-863F-01E4A97A4A56}"/>
            </c:ext>
          </c:extLst>
        </c:ser>
        <c:ser>
          <c:idx val="2"/>
          <c:order val="2"/>
          <c:tx>
            <c:strRef>
              <c:f>'Graphique 5'!$E$3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5'!$E$4:$E$21</c:f>
              <c:numCache>
                <c:formatCode>0.0</c:formatCode>
                <c:ptCount val="18"/>
                <c:pt idx="0">
                  <c:v>13.886982130599412</c:v>
                </c:pt>
                <c:pt idx="2">
                  <c:v>14.6</c:v>
                </c:pt>
                <c:pt idx="3">
                  <c:v>9.3000000000000007</c:v>
                </c:pt>
                <c:pt idx="5">
                  <c:v>15.34</c:v>
                </c:pt>
                <c:pt idx="6">
                  <c:v>19.3</c:v>
                </c:pt>
                <c:pt idx="7">
                  <c:v>15.93</c:v>
                </c:pt>
                <c:pt idx="8">
                  <c:v>13.68</c:v>
                </c:pt>
                <c:pt idx="9">
                  <c:v>18.38</c:v>
                </c:pt>
                <c:pt idx="10">
                  <c:v>16.02</c:v>
                </c:pt>
                <c:pt idx="11">
                  <c:v>13.51</c:v>
                </c:pt>
                <c:pt idx="12">
                  <c:v>16.16</c:v>
                </c:pt>
                <c:pt idx="13">
                  <c:v>12.98</c:v>
                </c:pt>
                <c:pt idx="15">
                  <c:v>12.56</c:v>
                </c:pt>
                <c:pt idx="16">
                  <c:v>11.84</c:v>
                </c:pt>
                <c:pt idx="17">
                  <c:v>10.59</c:v>
                </c:pt>
              </c:numCache>
            </c:numRef>
          </c:val>
          <c:extLst>
            <c:ext xmlns:c16="http://schemas.microsoft.com/office/drawing/2014/chart" uri="{C3380CC4-5D6E-409C-BE32-E72D297353CC}">
              <c16:uniqueId val="{00000002-C74E-4238-863F-01E4A97A4A56}"/>
            </c:ext>
          </c:extLst>
        </c:ser>
        <c:ser>
          <c:idx val="3"/>
          <c:order val="3"/>
          <c:tx>
            <c:strRef>
              <c:f>'Graphique 5'!$F$3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5'!$F$4:$F$21</c:f>
              <c:numCache>
                <c:formatCode>0.0</c:formatCode>
                <c:ptCount val="18"/>
                <c:pt idx="0">
                  <c:v>17.047433995409015</c:v>
                </c:pt>
                <c:pt idx="2">
                  <c:v>19.64</c:v>
                </c:pt>
                <c:pt idx="3">
                  <c:v>31.33</c:v>
                </c:pt>
                <c:pt idx="5">
                  <c:v>17.64</c:v>
                </c:pt>
                <c:pt idx="6">
                  <c:v>21.25</c:v>
                </c:pt>
                <c:pt idx="7">
                  <c:v>19.82</c:v>
                </c:pt>
                <c:pt idx="8">
                  <c:v>18.82</c:v>
                </c:pt>
                <c:pt idx="9">
                  <c:v>20.43</c:v>
                </c:pt>
                <c:pt idx="10">
                  <c:v>16.98</c:v>
                </c:pt>
                <c:pt idx="11">
                  <c:v>17.05</c:v>
                </c:pt>
                <c:pt idx="12">
                  <c:v>13.3</c:v>
                </c:pt>
                <c:pt idx="13">
                  <c:v>10.65</c:v>
                </c:pt>
                <c:pt idx="15">
                  <c:v>10.94</c:v>
                </c:pt>
                <c:pt idx="16">
                  <c:v>9.57</c:v>
                </c:pt>
                <c:pt idx="17">
                  <c:v>7.5</c:v>
                </c:pt>
              </c:numCache>
            </c:numRef>
          </c:val>
          <c:extLst>
            <c:ext xmlns:c16="http://schemas.microsoft.com/office/drawing/2014/chart" uri="{C3380CC4-5D6E-409C-BE32-E72D297353CC}">
              <c16:uniqueId val="{00000003-C74E-4238-863F-01E4A97A4A56}"/>
            </c:ext>
          </c:extLst>
        </c:ser>
        <c:ser>
          <c:idx val="4"/>
          <c:order val="4"/>
          <c:tx>
            <c:strRef>
              <c:f>'Graphique 5'!$G$3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5'!$G$4:$G$21</c:f>
              <c:numCache>
                <c:formatCode>0.0</c:formatCode>
                <c:ptCount val="18"/>
                <c:pt idx="0">
                  <c:v>11.698884730925652</c:v>
                </c:pt>
                <c:pt idx="2">
                  <c:v>22.53</c:v>
                </c:pt>
                <c:pt idx="3">
                  <c:v>18.739999999999998</c:v>
                </c:pt>
                <c:pt idx="5">
                  <c:v>10.29</c:v>
                </c:pt>
                <c:pt idx="6">
                  <c:v>11.39</c:v>
                </c:pt>
                <c:pt idx="7">
                  <c:v>11.22</c:v>
                </c:pt>
                <c:pt idx="8">
                  <c:v>12.8</c:v>
                </c:pt>
                <c:pt idx="9">
                  <c:v>12.07</c:v>
                </c:pt>
                <c:pt idx="10">
                  <c:v>10.72</c:v>
                </c:pt>
                <c:pt idx="11">
                  <c:v>8.99</c:v>
                </c:pt>
                <c:pt idx="12">
                  <c:v>7.92</c:v>
                </c:pt>
                <c:pt idx="13">
                  <c:v>5.84</c:v>
                </c:pt>
                <c:pt idx="15">
                  <c:v>6.77</c:v>
                </c:pt>
                <c:pt idx="16">
                  <c:v>4.95</c:v>
                </c:pt>
                <c:pt idx="17">
                  <c:v>2.13</c:v>
                </c:pt>
              </c:numCache>
            </c:numRef>
          </c:val>
          <c:extLst>
            <c:ext xmlns:c16="http://schemas.microsoft.com/office/drawing/2014/chart" uri="{C3380CC4-5D6E-409C-BE32-E72D297353CC}">
              <c16:uniqueId val="{00000004-C74E-4238-863F-01E4A97A4A56}"/>
            </c:ext>
          </c:extLst>
        </c:ser>
        <c:ser>
          <c:idx val="5"/>
          <c:order val="5"/>
          <c:tx>
            <c:strRef>
              <c:f>'Graphique 5'!$H$3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5'!$H$4:$H$21</c:f>
              <c:numCache>
                <c:formatCode>0.0</c:formatCode>
                <c:ptCount val="18"/>
                <c:pt idx="0">
                  <c:v>13.144730335171204</c:v>
                </c:pt>
                <c:pt idx="2">
                  <c:v>16</c:v>
                </c:pt>
                <c:pt idx="3">
                  <c:v>2.0099999999999998</c:v>
                </c:pt>
                <c:pt idx="5">
                  <c:v>14.84</c:v>
                </c:pt>
                <c:pt idx="6">
                  <c:v>9.1999999999999993</c:v>
                </c:pt>
                <c:pt idx="7">
                  <c:v>18.579999999999998</c:v>
                </c:pt>
                <c:pt idx="8">
                  <c:v>16.18</c:v>
                </c:pt>
                <c:pt idx="9">
                  <c:v>8.99</c:v>
                </c:pt>
                <c:pt idx="10">
                  <c:v>13.82</c:v>
                </c:pt>
                <c:pt idx="11">
                  <c:v>14.24</c:v>
                </c:pt>
                <c:pt idx="12">
                  <c:v>9.01</c:v>
                </c:pt>
                <c:pt idx="13">
                  <c:v>12.96</c:v>
                </c:pt>
                <c:pt idx="15">
                  <c:v>6.23</c:v>
                </c:pt>
                <c:pt idx="16">
                  <c:v>6.84</c:v>
                </c:pt>
                <c:pt idx="17">
                  <c:v>10.31</c:v>
                </c:pt>
              </c:numCache>
            </c:numRef>
          </c:val>
          <c:extLst>
            <c:ext xmlns:c16="http://schemas.microsoft.com/office/drawing/2014/chart" uri="{C3380CC4-5D6E-409C-BE32-E72D297353CC}">
              <c16:uniqueId val="{00000005-C74E-4238-863F-01E4A97A4A56}"/>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5'!$C$3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5'!$C$4:$C$21</c:f>
              <c:numCache>
                <c:formatCode>0.0</c:formatCode>
                <c:ptCount val="18"/>
                <c:pt idx="0">
                  <c:v>10.3616782179314</c:v>
                </c:pt>
                <c:pt idx="2">
                  <c:v>11.7</c:v>
                </c:pt>
                <c:pt idx="3">
                  <c:v>15.13</c:v>
                </c:pt>
                <c:pt idx="5">
                  <c:v>8.81</c:v>
                </c:pt>
                <c:pt idx="6">
                  <c:v>8.4700000000000006</c:v>
                </c:pt>
                <c:pt idx="7">
                  <c:v>7.65</c:v>
                </c:pt>
                <c:pt idx="8">
                  <c:v>10.37</c:v>
                </c:pt>
                <c:pt idx="9">
                  <c:v>9.77</c:v>
                </c:pt>
                <c:pt idx="10">
                  <c:v>8.81</c:v>
                </c:pt>
                <c:pt idx="11">
                  <c:v>9.91</c:v>
                </c:pt>
                <c:pt idx="12">
                  <c:v>8.49</c:v>
                </c:pt>
                <c:pt idx="13">
                  <c:v>8.76</c:v>
                </c:pt>
                <c:pt idx="15">
                  <c:v>10.39</c:v>
                </c:pt>
                <c:pt idx="16">
                  <c:v>11.63</c:v>
                </c:pt>
                <c:pt idx="17">
                  <c:v>6.84</c:v>
                </c:pt>
              </c:numCache>
            </c:numRef>
          </c:val>
          <c:extLst>
            <c:ext xmlns:c16="http://schemas.microsoft.com/office/drawing/2014/chart" uri="{C3380CC4-5D6E-409C-BE32-E72D297353CC}">
              <c16:uniqueId val="{00000000-ECD4-47FB-A479-8DD0247125DE}"/>
            </c:ext>
          </c:extLst>
        </c:ser>
        <c:ser>
          <c:idx val="1"/>
          <c:order val="1"/>
          <c:tx>
            <c:strRef>
              <c:f>'Graphique 5'!$D$3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5'!$D$4:$D$21</c:f>
              <c:numCache>
                <c:formatCode>0.0</c:formatCode>
                <c:ptCount val="18"/>
                <c:pt idx="0">
                  <c:v>33.860290589963313</c:v>
                </c:pt>
                <c:pt idx="2">
                  <c:v>15.53</c:v>
                </c:pt>
                <c:pt idx="3">
                  <c:v>23.49</c:v>
                </c:pt>
                <c:pt idx="5">
                  <c:v>33.090000000000003</c:v>
                </c:pt>
                <c:pt idx="6">
                  <c:v>30.38</c:v>
                </c:pt>
                <c:pt idx="7">
                  <c:v>26.8</c:v>
                </c:pt>
                <c:pt idx="8">
                  <c:v>28.14</c:v>
                </c:pt>
                <c:pt idx="9">
                  <c:v>30.35</c:v>
                </c:pt>
                <c:pt idx="10">
                  <c:v>33.65</c:v>
                </c:pt>
                <c:pt idx="11">
                  <c:v>36.299999999999997</c:v>
                </c:pt>
                <c:pt idx="12">
                  <c:v>45.12</c:v>
                </c:pt>
                <c:pt idx="13">
                  <c:v>48.8</c:v>
                </c:pt>
                <c:pt idx="15">
                  <c:v>53.11</c:v>
                </c:pt>
                <c:pt idx="16">
                  <c:v>55.17</c:v>
                </c:pt>
                <c:pt idx="17">
                  <c:v>62.64</c:v>
                </c:pt>
              </c:numCache>
            </c:numRef>
          </c:val>
          <c:extLst>
            <c:ext xmlns:c16="http://schemas.microsoft.com/office/drawing/2014/chart" uri="{C3380CC4-5D6E-409C-BE32-E72D297353CC}">
              <c16:uniqueId val="{00000001-ECD4-47FB-A479-8DD0247125DE}"/>
            </c:ext>
          </c:extLst>
        </c:ser>
        <c:ser>
          <c:idx val="2"/>
          <c:order val="2"/>
          <c:tx>
            <c:strRef>
              <c:f>'Graphique 5'!$E$3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5'!$E$4:$E$21</c:f>
              <c:numCache>
                <c:formatCode>0.0</c:formatCode>
                <c:ptCount val="18"/>
                <c:pt idx="0">
                  <c:v>13.886982130599412</c:v>
                </c:pt>
                <c:pt idx="2">
                  <c:v>14.6</c:v>
                </c:pt>
                <c:pt idx="3">
                  <c:v>9.3000000000000007</c:v>
                </c:pt>
                <c:pt idx="5">
                  <c:v>15.34</c:v>
                </c:pt>
                <c:pt idx="6">
                  <c:v>19.3</c:v>
                </c:pt>
                <c:pt idx="7">
                  <c:v>15.93</c:v>
                </c:pt>
                <c:pt idx="8">
                  <c:v>13.68</c:v>
                </c:pt>
                <c:pt idx="9">
                  <c:v>18.38</c:v>
                </c:pt>
                <c:pt idx="10">
                  <c:v>16.02</c:v>
                </c:pt>
                <c:pt idx="11">
                  <c:v>13.51</c:v>
                </c:pt>
                <c:pt idx="12">
                  <c:v>16.16</c:v>
                </c:pt>
                <c:pt idx="13">
                  <c:v>12.98</c:v>
                </c:pt>
                <c:pt idx="15">
                  <c:v>12.56</c:v>
                </c:pt>
                <c:pt idx="16">
                  <c:v>11.84</c:v>
                </c:pt>
                <c:pt idx="17">
                  <c:v>10.59</c:v>
                </c:pt>
              </c:numCache>
            </c:numRef>
          </c:val>
          <c:extLst>
            <c:ext xmlns:c16="http://schemas.microsoft.com/office/drawing/2014/chart" uri="{C3380CC4-5D6E-409C-BE32-E72D297353CC}">
              <c16:uniqueId val="{00000002-ECD4-47FB-A479-8DD0247125DE}"/>
            </c:ext>
          </c:extLst>
        </c:ser>
        <c:ser>
          <c:idx val="3"/>
          <c:order val="3"/>
          <c:tx>
            <c:strRef>
              <c:f>'Graphique 5'!$F$3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5'!$F$4:$F$21</c:f>
              <c:numCache>
                <c:formatCode>0.0</c:formatCode>
                <c:ptCount val="18"/>
                <c:pt idx="0">
                  <c:v>17.047433995409015</c:v>
                </c:pt>
                <c:pt idx="2">
                  <c:v>19.64</c:v>
                </c:pt>
                <c:pt idx="3">
                  <c:v>31.33</c:v>
                </c:pt>
                <c:pt idx="5">
                  <c:v>17.64</c:v>
                </c:pt>
                <c:pt idx="6">
                  <c:v>21.25</c:v>
                </c:pt>
                <c:pt idx="7">
                  <c:v>19.82</c:v>
                </c:pt>
                <c:pt idx="8">
                  <c:v>18.82</c:v>
                </c:pt>
                <c:pt idx="9">
                  <c:v>20.43</c:v>
                </c:pt>
                <c:pt idx="10">
                  <c:v>16.98</c:v>
                </c:pt>
                <c:pt idx="11">
                  <c:v>17.05</c:v>
                </c:pt>
                <c:pt idx="12">
                  <c:v>13.3</c:v>
                </c:pt>
                <c:pt idx="13">
                  <c:v>10.65</c:v>
                </c:pt>
                <c:pt idx="15">
                  <c:v>10.94</c:v>
                </c:pt>
                <c:pt idx="16">
                  <c:v>9.57</c:v>
                </c:pt>
                <c:pt idx="17">
                  <c:v>7.5</c:v>
                </c:pt>
              </c:numCache>
            </c:numRef>
          </c:val>
          <c:extLst>
            <c:ext xmlns:c16="http://schemas.microsoft.com/office/drawing/2014/chart" uri="{C3380CC4-5D6E-409C-BE32-E72D297353CC}">
              <c16:uniqueId val="{00000003-ECD4-47FB-A479-8DD0247125DE}"/>
            </c:ext>
          </c:extLst>
        </c:ser>
        <c:ser>
          <c:idx val="4"/>
          <c:order val="4"/>
          <c:tx>
            <c:strRef>
              <c:f>'Graphique 5'!$G$3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5'!$G$4:$G$21</c:f>
              <c:numCache>
                <c:formatCode>0.0</c:formatCode>
                <c:ptCount val="18"/>
                <c:pt idx="0">
                  <c:v>11.698884730925652</c:v>
                </c:pt>
                <c:pt idx="2">
                  <c:v>22.53</c:v>
                </c:pt>
                <c:pt idx="3">
                  <c:v>18.739999999999998</c:v>
                </c:pt>
                <c:pt idx="5">
                  <c:v>10.29</c:v>
                </c:pt>
                <c:pt idx="6">
                  <c:v>11.39</c:v>
                </c:pt>
                <c:pt idx="7">
                  <c:v>11.22</c:v>
                </c:pt>
                <c:pt idx="8">
                  <c:v>12.8</c:v>
                </c:pt>
                <c:pt idx="9">
                  <c:v>12.07</c:v>
                </c:pt>
                <c:pt idx="10">
                  <c:v>10.72</c:v>
                </c:pt>
                <c:pt idx="11">
                  <c:v>8.99</c:v>
                </c:pt>
                <c:pt idx="12">
                  <c:v>7.92</c:v>
                </c:pt>
                <c:pt idx="13">
                  <c:v>5.84</c:v>
                </c:pt>
                <c:pt idx="15">
                  <c:v>6.77</c:v>
                </c:pt>
                <c:pt idx="16">
                  <c:v>4.95</c:v>
                </c:pt>
                <c:pt idx="17">
                  <c:v>2.13</c:v>
                </c:pt>
              </c:numCache>
            </c:numRef>
          </c:val>
          <c:extLst>
            <c:ext xmlns:c16="http://schemas.microsoft.com/office/drawing/2014/chart" uri="{C3380CC4-5D6E-409C-BE32-E72D297353CC}">
              <c16:uniqueId val="{00000004-ECD4-47FB-A479-8DD0247125DE}"/>
            </c:ext>
          </c:extLst>
        </c:ser>
        <c:ser>
          <c:idx val="5"/>
          <c:order val="5"/>
          <c:tx>
            <c:strRef>
              <c:f>'Graphique 5'!$H$3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5'!$B$4:$B$21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Préparation au DUT ou BUT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5'!$H$4:$H$21</c:f>
              <c:numCache>
                <c:formatCode>0.0</c:formatCode>
                <c:ptCount val="18"/>
                <c:pt idx="0">
                  <c:v>13.144730335171204</c:v>
                </c:pt>
                <c:pt idx="2">
                  <c:v>16</c:v>
                </c:pt>
                <c:pt idx="3">
                  <c:v>2.0099999999999998</c:v>
                </c:pt>
                <c:pt idx="5">
                  <c:v>14.84</c:v>
                </c:pt>
                <c:pt idx="6">
                  <c:v>9.1999999999999993</c:v>
                </c:pt>
                <c:pt idx="7">
                  <c:v>18.579999999999998</c:v>
                </c:pt>
                <c:pt idx="8">
                  <c:v>16.18</c:v>
                </c:pt>
                <c:pt idx="9">
                  <c:v>8.99</c:v>
                </c:pt>
                <c:pt idx="10">
                  <c:v>13.82</c:v>
                </c:pt>
                <c:pt idx="11">
                  <c:v>14.24</c:v>
                </c:pt>
                <c:pt idx="12">
                  <c:v>9.01</c:v>
                </c:pt>
                <c:pt idx="13">
                  <c:v>12.96</c:v>
                </c:pt>
                <c:pt idx="15">
                  <c:v>6.23</c:v>
                </c:pt>
                <c:pt idx="16">
                  <c:v>6.84</c:v>
                </c:pt>
                <c:pt idx="17">
                  <c:v>10.31</c:v>
                </c:pt>
              </c:numCache>
            </c:numRef>
          </c:val>
          <c:extLst>
            <c:ext xmlns:c16="http://schemas.microsoft.com/office/drawing/2014/chart" uri="{C3380CC4-5D6E-409C-BE32-E72D297353CC}">
              <c16:uniqueId val="{00000005-ECD4-47FB-A479-8DD0247125DE}"/>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6'!$E$3</c:f>
              <c:strCache>
                <c:ptCount val="1"/>
                <c:pt idx="0">
                  <c:v>Français (1) </c:v>
                </c:pt>
              </c:strCache>
            </c:strRef>
          </c:tx>
          <c:spPr>
            <a:ln w="25400">
              <a:solidFill>
                <a:srgbClr val="FF0000"/>
              </a:solidFill>
              <a:prstDash val="solid"/>
            </a:ln>
          </c:spPr>
          <c:marker>
            <c:symbol val="none"/>
          </c:marker>
          <c:cat>
            <c:strRef>
              <c:f>'Graphique 6'!$A$4:$A$12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6'!$E$4:$E$12</c:f>
              <c:numCache>
                <c:formatCode>0.0</c:formatCode>
                <c:ptCount val="9"/>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numCache>
            </c:numRef>
          </c:val>
          <c:smooth val="0"/>
          <c:extLst>
            <c:ext xmlns:c16="http://schemas.microsoft.com/office/drawing/2014/chart" uri="{C3380CC4-5D6E-409C-BE32-E72D297353CC}">
              <c16:uniqueId val="{00000000-097D-40B4-98AD-354A9D0EE058}"/>
            </c:ext>
          </c:extLst>
        </c:ser>
        <c:ser>
          <c:idx val="0"/>
          <c:order val="1"/>
          <c:tx>
            <c:strRef>
              <c:f>'Graphique 6'!$F$3</c:f>
              <c:strCache>
                <c:ptCount val="1"/>
                <c:pt idx="0">
                  <c:v>Etudiants étrangers en mobilité internationale</c:v>
                </c:pt>
              </c:strCache>
            </c:strRef>
          </c:tx>
          <c:marker>
            <c:symbol val="none"/>
          </c:marker>
          <c:cat>
            <c:strRef>
              <c:f>'Graphique 6'!$A$4:$A$12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6'!$F$4:$F$12</c:f>
              <c:numCache>
                <c:formatCode>0.0</c:formatCode>
                <c:ptCount val="9"/>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numCache>
            </c:numRef>
          </c:val>
          <c:smooth val="0"/>
          <c:extLst>
            <c:ext xmlns:c16="http://schemas.microsoft.com/office/drawing/2014/chart" uri="{C3380CC4-5D6E-409C-BE32-E72D297353CC}">
              <c16:uniqueId val="{00000001-097D-40B4-98AD-354A9D0EE058}"/>
            </c:ext>
          </c:extLst>
        </c:ser>
        <c:ser>
          <c:idx val="1"/>
          <c:order val="2"/>
          <c:tx>
            <c:strRef>
              <c:f>'Graphique 6'!$G$3</c:f>
              <c:strCache>
                <c:ptCount val="1"/>
                <c:pt idx="0">
                  <c:v>Ensemble (2)</c:v>
                </c:pt>
              </c:strCache>
            </c:strRef>
          </c:tx>
          <c:marker>
            <c:symbol val="none"/>
          </c:marker>
          <c:cat>
            <c:strRef>
              <c:f>'Graphique 6'!$A$4:$A$12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6'!$G$4:$G$12</c:f>
              <c:numCache>
                <c:formatCode>0.0</c:formatCode>
                <c:ptCount val="9"/>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numCache>
            </c:numRef>
          </c:val>
          <c:smooth val="0"/>
          <c:extLst>
            <c:ext xmlns:c16="http://schemas.microsoft.com/office/drawing/2014/chart" uri="{C3380CC4-5D6E-409C-BE32-E72D297353CC}">
              <c16:uniqueId val="{00000002-097D-40B4-98AD-354A9D0EE058}"/>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6'!$E$3</c:f>
              <c:strCache>
                <c:ptCount val="1"/>
                <c:pt idx="0">
                  <c:v>Français (1) </c:v>
                </c:pt>
              </c:strCache>
            </c:strRef>
          </c:tx>
          <c:spPr>
            <a:ln w="25400">
              <a:solidFill>
                <a:srgbClr val="FF0000"/>
              </a:solidFill>
              <a:prstDash val="solid"/>
            </a:ln>
          </c:spPr>
          <c:marker>
            <c:symbol val="none"/>
          </c:marker>
          <c:cat>
            <c:strRef>
              <c:f>'Graphique 6'!$A$4:$A$13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'Graphique 6'!$E$4:$E$13</c:f>
              <c:numCache>
                <c:formatCode>0.0</c:formatCode>
                <c:ptCount val="10"/>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pt idx="9">
                  <c:v>117.88237737033283</c:v>
                </c:pt>
              </c:numCache>
            </c:numRef>
          </c:val>
          <c:smooth val="0"/>
          <c:extLst>
            <c:ext xmlns:c16="http://schemas.microsoft.com/office/drawing/2014/chart" uri="{C3380CC4-5D6E-409C-BE32-E72D297353CC}">
              <c16:uniqueId val="{00000000-1D37-49CD-B01C-A1C686972054}"/>
            </c:ext>
          </c:extLst>
        </c:ser>
        <c:ser>
          <c:idx val="0"/>
          <c:order val="1"/>
          <c:tx>
            <c:strRef>
              <c:f>'Graphique 6'!$F$3</c:f>
              <c:strCache>
                <c:ptCount val="1"/>
                <c:pt idx="0">
                  <c:v>Etudiants étrangers en mobilité internationale</c:v>
                </c:pt>
              </c:strCache>
            </c:strRef>
          </c:tx>
          <c:marker>
            <c:symbol val="none"/>
          </c:marker>
          <c:cat>
            <c:strRef>
              <c:f>'Graphique 6'!$A$4:$A$13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'Graphique 6'!$F$4:$F$13</c:f>
              <c:numCache>
                <c:formatCode>0.0</c:formatCode>
                <c:ptCount val="10"/>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pt idx="9">
                  <c:v>130.99610726643596</c:v>
                </c:pt>
              </c:numCache>
            </c:numRef>
          </c:val>
          <c:smooth val="0"/>
          <c:extLst>
            <c:ext xmlns:c16="http://schemas.microsoft.com/office/drawing/2014/chart" uri="{C3380CC4-5D6E-409C-BE32-E72D297353CC}">
              <c16:uniqueId val="{00000001-1D37-49CD-B01C-A1C686972054}"/>
            </c:ext>
          </c:extLst>
        </c:ser>
        <c:ser>
          <c:idx val="1"/>
          <c:order val="2"/>
          <c:tx>
            <c:strRef>
              <c:f>'Graphique 6'!$G$3</c:f>
              <c:strCache>
                <c:ptCount val="1"/>
                <c:pt idx="0">
                  <c:v>Ensemble (2)</c:v>
                </c:pt>
              </c:strCache>
            </c:strRef>
          </c:tx>
          <c:marker>
            <c:symbol val="none"/>
          </c:marker>
          <c:cat>
            <c:strRef>
              <c:f>'Graphique 6'!$A$4:$A$13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'Graphique 6'!$G$4:$G$13</c:f>
              <c:numCache>
                <c:formatCode>0.0</c:formatCode>
                <c:ptCount val="10"/>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pt idx="9">
                  <c:v>119.16718507130251</c:v>
                </c:pt>
              </c:numCache>
            </c:numRef>
          </c:val>
          <c:smooth val="0"/>
          <c:extLst>
            <c:ext xmlns:c16="http://schemas.microsoft.com/office/drawing/2014/chart" uri="{C3380CC4-5D6E-409C-BE32-E72D297353CC}">
              <c16:uniqueId val="{00000002-1D37-49CD-B01C-A1C686972054}"/>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42849383046162E-2"/>
          <c:y val="9.5898903373671865E-2"/>
          <c:w val="0.93657029508111667"/>
          <c:h val="0.6048413727048445"/>
        </c:manualLayout>
      </c:layout>
      <c:lineChart>
        <c:grouping val="standard"/>
        <c:varyColors val="0"/>
        <c:ser>
          <c:idx val="0"/>
          <c:order val="0"/>
          <c:tx>
            <c:strRef>
              <c:f>'Graphique 7'!$A$4</c:f>
              <c:strCache>
                <c:ptCount val="1"/>
                <c:pt idx="0">
                  <c:v>Université (1)</c:v>
                </c:pt>
              </c:strCache>
            </c:strRef>
          </c:tx>
          <c:spPr>
            <a:ln w="25400">
              <a:solidFill>
                <a:srgbClr val="FF0000"/>
              </a:solidFill>
              <a:prstDash val="solid"/>
            </a:ln>
          </c:spPr>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7'!$B$4:$J$4</c:f>
              <c:numCache>
                <c:formatCode>0.0%</c:formatCode>
                <c:ptCount val="9"/>
                <c:pt idx="0">
                  <c:v>0.129</c:v>
                </c:pt>
                <c:pt idx="1">
                  <c:v>0.126</c:v>
                </c:pt>
                <c:pt idx="2">
                  <c:v>0.125</c:v>
                </c:pt>
                <c:pt idx="3">
                  <c:v>0.123</c:v>
                </c:pt>
                <c:pt idx="4">
                  <c:v>0.13</c:v>
                </c:pt>
                <c:pt idx="5">
                  <c:v>0.13300000000000001</c:v>
                </c:pt>
                <c:pt idx="6">
                  <c:v>0.13100000000000001</c:v>
                </c:pt>
                <c:pt idx="7">
                  <c:v>0.12189999999999999</c:v>
                </c:pt>
                <c:pt idx="8">
                  <c:v>0.129222123573315</c:v>
                </c:pt>
              </c:numCache>
            </c:numRef>
          </c:val>
          <c:smooth val="0"/>
          <c:extLst>
            <c:ext xmlns:c16="http://schemas.microsoft.com/office/drawing/2014/chart" uri="{C3380CC4-5D6E-409C-BE32-E72D297353CC}">
              <c16:uniqueId val="{00000000-0E1F-4A6C-AF77-B9ECA5A661D5}"/>
            </c:ext>
          </c:extLst>
        </c:ser>
        <c:ser>
          <c:idx val="1"/>
          <c:order val="1"/>
          <c:tx>
            <c:strRef>
              <c:f>'Graphique 7'!$A$5</c:f>
              <c:strCache>
                <c:ptCount val="1"/>
                <c:pt idx="0">
                  <c:v>Préparation DUT ou BUT</c:v>
                </c:pt>
              </c:strCache>
            </c:strRef>
          </c:tx>
          <c:spPr>
            <a:ln w="25400">
              <a:solidFill>
                <a:srgbClr val="FF00FF"/>
              </a:solidFill>
              <a:prstDash val="solid"/>
            </a:ln>
          </c:spPr>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7'!$B$5:$J$5</c:f>
              <c:numCache>
                <c:formatCode>0.0%</c:formatCode>
                <c:ptCount val="9"/>
                <c:pt idx="0">
                  <c:v>3.9E-2</c:v>
                </c:pt>
                <c:pt idx="1">
                  <c:v>3.7999999999999999E-2</c:v>
                </c:pt>
                <c:pt idx="2">
                  <c:v>3.6999999999999998E-2</c:v>
                </c:pt>
                <c:pt idx="3">
                  <c:v>3.5999999999999997E-2</c:v>
                </c:pt>
                <c:pt idx="4">
                  <c:v>3.4000000000000002E-2</c:v>
                </c:pt>
                <c:pt idx="5">
                  <c:v>3.1E-2</c:v>
                </c:pt>
                <c:pt idx="6">
                  <c:v>3.1E-2</c:v>
                </c:pt>
                <c:pt idx="7">
                  <c:v>2.64E-2</c:v>
                </c:pt>
                <c:pt idx="8">
                  <c:v>2.6126408010012515E-2</c:v>
                </c:pt>
              </c:numCache>
            </c:numRef>
          </c:val>
          <c:smooth val="0"/>
          <c:extLst>
            <c:ext xmlns:c16="http://schemas.microsoft.com/office/drawing/2014/chart" uri="{C3380CC4-5D6E-409C-BE32-E72D297353CC}">
              <c16:uniqueId val="{00000001-0E1F-4A6C-AF77-B9ECA5A661D5}"/>
            </c:ext>
          </c:extLst>
        </c:ser>
        <c:ser>
          <c:idx val="2"/>
          <c:order val="2"/>
          <c:tx>
            <c:strRef>
              <c:f>'Graphique 7'!$A$6</c:f>
              <c:strCache>
                <c:ptCount val="1"/>
                <c:pt idx="0">
                  <c:v>Formations d'ingénieurs (2)</c:v>
                </c:pt>
              </c:strCache>
            </c:strRef>
          </c:tx>
          <c:spPr>
            <a:ln w="25400">
              <a:solidFill>
                <a:srgbClr val="0000FF"/>
              </a:solidFill>
              <a:prstDash val="solid"/>
            </a:ln>
          </c:spPr>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7'!$B$6:$J$6</c:f>
              <c:numCache>
                <c:formatCode>0.0%</c:formatCode>
                <c:ptCount val="9"/>
                <c:pt idx="0">
                  <c:v>0.107</c:v>
                </c:pt>
                <c:pt idx="1">
                  <c:v>0.106</c:v>
                </c:pt>
                <c:pt idx="2">
                  <c:v>0.107</c:v>
                </c:pt>
                <c:pt idx="3">
                  <c:v>0.111</c:v>
                </c:pt>
                <c:pt idx="4">
                  <c:v>0.104</c:v>
                </c:pt>
                <c:pt idx="5">
                  <c:v>0.108</c:v>
                </c:pt>
                <c:pt idx="6">
                  <c:v>0.112</c:v>
                </c:pt>
                <c:pt idx="7">
                  <c:v>0.109</c:v>
                </c:pt>
                <c:pt idx="8">
                  <c:v>0.10874939615242533</c:v>
                </c:pt>
              </c:numCache>
            </c:numRef>
          </c:val>
          <c:smooth val="0"/>
          <c:extLst>
            <c:ext xmlns:c16="http://schemas.microsoft.com/office/drawing/2014/chart" uri="{C3380CC4-5D6E-409C-BE32-E72D297353CC}">
              <c16:uniqueId val="{00000002-0E1F-4A6C-AF77-B9ECA5A661D5}"/>
            </c:ext>
          </c:extLst>
        </c:ser>
        <c:ser>
          <c:idx val="5"/>
          <c:order val="3"/>
          <c:tx>
            <c:strRef>
              <c:f>'Graphique 7'!$A$7</c:f>
              <c:strCache>
                <c:ptCount val="1"/>
                <c:pt idx="0">
                  <c:v>STS (scolaires) et CPGE</c:v>
                </c:pt>
              </c:strCache>
            </c:strRef>
          </c:tx>
          <c:spPr>
            <a:ln w="25400">
              <a:solidFill>
                <a:srgbClr val="800000"/>
              </a:solidFill>
              <a:prstDash val="solid"/>
            </a:ln>
          </c:spPr>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7'!$B$7:$J$7</c:f>
              <c:numCache>
                <c:formatCode>0.0%</c:formatCode>
                <c:ptCount val="9"/>
                <c:pt idx="0">
                  <c:v>6.0000000000000001E-3</c:v>
                </c:pt>
                <c:pt idx="1">
                  <c:v>7.0000000000000001E-3</c:v>
                </c:pt>
                <c:pt idx="2">
                  <c:v>8.0000000000000002E-3</c:v>
                </c:pt>
                <c:pt idx="3">
                  <c:v>8.0000000000000002E-3</c:v>
                </c:pt>
                <c:pt idx="4">
                  <c:v>8.9999999999999993E-3</c:v>
                </c:pt>
                <c:pt idx="5">
                  <c:v>0.01</c:v>
                </c:pt>
                <c:pt idx="6">
                  <c:v>8.9999999999999993E-3</c:v>
                </c:pt>
                <c:pt idx="7">
                  <c:v>1.128E-2</c:v>
                </c:pt>
                <c:pt idx="8">
                  <c:v>1.6412474807102905E-2</c:v>
                </c:pt>
              </c:numCache>
            </c:numRef>
          </c:val>
          <c:smooth val="0"/>
          <c:extLst>
            <c:ext xmlns:c16="http://schemas.microsoft.com/office/drawing/2014/chart" uri="{C3380CC4-5D6E-409C-BE32-E72D297353CC}">
              <c16:uniqueId val="{00000003-0E1F-4A6C-AF77-B9ECA5A661D5}"/>
            </c:ext>
          </c:extLst>
        </c:ser>
        <c:ser>
          <c:idx val="6"/>
          <c:order val="4"/>
          <c:tx>
            <c:strRef>
              <c:f>'Graphique 7'!$A$8</c:f>
              <c:strCache>
                <c:ptCount val="1"/>
                <c:pt idx="0">
                  <c:v>Écoles de commerce, gestion et comptabilité</c:v>
                </c:pt>
              </c:strCache>
            </c:strRef>
          </c:tx>
          <c:spPr>
            <a:ln w="25400">
              <a:solidFill>
                <a:srgbClr val="000000"/>
              </a:solidFill>
              <a:prstDash val="solid"/>
            </a:ln>
          </c:spPr>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7'!$B$8:$J$8</c:f>
              <c:numCache>
                <c:formatCode>0.0%</c:formatCode>
                <c:ptCount val="9"/>
                <c:pt idx="0">
                  <c:v>0.123</c:v>
                </c:pt>
                <c:pt idx="1">
                  <c:v>0.129</c:v>
                </c:pt>
                <c:pt idx="2">
                  <c:v>0.128</c:v>
                </c:pt>
                <c:pt idx="3">
                  <c:v>0.14000000000000001</c:v>
                </c:pt>
                <c:pt idx="4">
                  <c:v>0.14799999999999999</c:v>
                </c:pt>
                <c:pt idx="5">
                  <c:v>0.16500000000000001</c:v>
                </c:pt>
                <c:pt idx="6">
                  <c:v>0.17399999999999999</c:v>
                </c:pt>
                <c:pt idx="7">
                  <c:v>0.1646</c:v>
                </c:pt>
                <c:pt idx="8">
                  <c:v>0.18702340829451466</c:v>
                </c:pt>
              </c:numCache>
            </c:numRef>
          </c:val>
          <c:smooth val="0"/>
          <c:extLst>
            <c:ext xmlns:c16="http://schemas.microsoft.com/office/drawing/2014/chart" uri="{C3380CC4-5D6E-409C-BE32-E72D297353CC}">
              <c16:uniqueId val="{00000004-0E1F-4A6C-AF77-B9ECA5A661D5}"/>
            </c:ext>
          </c:extLst>
        </c:ser>
        <c:ser>
          <c:idx val="4"/>
          <c:order val="5"/>
          <c:tx>
            <c:strRef>
              <c:f>'Graphique 7'!$A$9</c:f>
              <c:strCache>
                <c:ptCount val="1"/>
                <c:pt idx="0">
                  <c:v>Total enseignement supérieur (3)</c:v>
                </c:pt>
              </c:strCache>
            </c:strRef>
          </c:tx>
          <c:marker>
            <c:symbol val="none"/>
          </c:marker>
          <c:cat>
            <c:strRef>
              <c:f>'Graphique 7'!$B$3:$J$3</c:f>
              <c:strCache>
                <c:ptCount val="9"/>
                <c:pt idx="0">
                  <c:v>2013-14</c:v>
                </c:pt>
                <c:pt idx="1">
                  <c:v>2014-15</c:v>
                </c:pt>
                <c:pt idx="2">
                  <c:v>2015-16</c:v>
                </c:pt>
                <c:pt idx="3">
                  <c:v>2016-17</c:v>
                </c:pt>
                <c:pt idx="4">
                  <c:v>2017-18</c:v>
                </c:pt>
                <c:pt idx="5">
                  <c:v>2018-19</c:v>
                </c:pt>
                <c:pt idx="6">
                  <c:v>2019-2020</c:v>
                </c:pt>
                <c:pt idx="7">
                  <c:v>2020-2021</c:v>
                </c:pt>
                <c:pt idx="8">
                  <c:v>2021-2022</c:v>
                </c:pt>
              </c:strCache>
            </c:strRef>
          </c:cat>
          <c:val>
            <c:numRef>
              <c:f>'Graphique 7'!$B$9:$J$9</c:f>
              <c:numCache>
                <c:formatCode>0.0%</c:formatCode>
                <c:ptCount val="9"/>
                <c:pt idx="0">
                  <c:v>9.7000000000000003E-2</c:v>
                </c:pt>
                <c:pt idx="1">
                  <c:v>9.7000000000000003E-2</c:v>
                </c:pt>
                <c:pt idx="2">
                  <c:v>9.7000000000000003E-2</c:v>
                </c:pt>
                <c:pt idx="3">
                  <c:v>0.1</c:v>
                </c:pt>
                <c:pt idx="4">
                  <c:v>0.10299999999999999</c:v>
                </c:pt>
                <c:pt idx="5">
                  <c:v>0.106</c:v>
                </c:pt>
                <c:pt idx="6">
                  <c:v>0.107</c:v>
                </c:pt>
                <c:pt idx="7">
                  <c:v>9.9919999999999995E-2</c:v>
                </c:pt>
                <c:pt idx="8">
                  <c:v>0.10769951552427499</c:v>
                </c:pt>
              </c:numCache>
            </c:numRef>
          </c:val>
          <c:smooth val="0"/>
          <c:extLst>
            <c:ext xmlns:c16="http://schemas.microsoft.com/office/drawing/2014/chart" uri="{C3380CC4-5D6E-409C-BE32-E72D297353CC}">
              <c16:uniqueId val="{00000005-0E1F-4A6C-AF77-B9ECA5A661D5}"/>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0.2"/>
          <c:min val="0"/>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majorUnit val="2.0000000000000004E-2"/>
      </c:valAx>
      <c:spPr>
        <a:noFill/>
        <a:ln w="25400">
          <a:noFill/>
        </a:ln>
      </c:spPr>
    </c:plotArea>
    <c:legend>
      <c:legendPos val="r"/>
      <c:layout>
        <c:manualLayout>
          <c:xMode val="edge"/>
          <c:yMode val="edge"/>
          <c:x val="2.9079110047704609E-3"/>
          <c:y val="0.75361140089786471"/>
          <c:w val="0.97995171209336429"/>
          <c:h val="0.104287818332442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215066</xdr:colOff>
      <xdr:row>1</xdr:row>
      <xdr:rowOff>83831</xdr:rowOff>
    </xdr:from>
    <xdr:to>
      <xdr:col>11</xdr:col>
      <xdr:colOff>328258</xdr:colOff>
      <xdr:row>17</xdr:row>
      <xdr:rowOff>52772</xdr:rowOff>
    </xdr:to>
    <xdr:pic>
      <xdr:nvPicPr>
        <xdr:cNvPr id="8"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5066" y="83831"/>
          <a:ext cx="4818542" cy="3407466"/>
        </a:xfrm>
        <a:prstGeom prst="rect">
          <a:avLst/>
        </a:prstGeom>
      </xdr:spPr>
    </xdr:pic>
    <xdr:clientData/>
  </xdr:twoCellAnchor>
  <xdr:twoCellAnchor editAs="oneCell">
    <xdr:from>
      <xdr:col>5</xdr:col>
      <xdr:colOff>440417</xdr:colOff>
      <xdr:row>17</xdr:row>
      <xdr:rowOff>16745</xdr:rowOff>
    </xdr:from>
    <xdr:to>
      <xdr:col>11</xdr:col>
      <xdr:colOff>493033</xdr:colOff>
      <xdr:row>36</xdr:row>
      <xdr:rowOff>152399</xdr:rowOff>
    </xdr:to>
    <xdr:pic>
      <xdr:nvPicPr>
        <xdr:cNvPr id="10" name="Imag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417" y="3455270"/>
          <a:ext cx="4757966" cy="3364629"/>
        </a:xfrm>
        <a:prstGeom prst="rect">
          <a:avLst/>
        </a:prstGeom>
      </xdr:spPr>
    </xdr:pic>
    <xdr:clientData/>
  </xdr:twoCellAnchor>
  <xdr:twoCellAnchor editAs="oneCell">
    <xdr:from>
      <xdr:col>0</xdr:col>
      <xdr:colOff>0</xdr:colOff>
      <xdr:row>1</xdr:row>
      <xdr:rowOff>149119</xdr:rowOff>
    </xdr:from>
    <xdr:to>
      <xdr:col>6</xdr:col>
      <xdr:colOff>248995</xdr:colOff>
      <xdr:row>17</xdr:row>
      <xdr:rowOff>119794</xdr:rowOff>
    </xdr:to>
    <xdr:pic>
      <xdr:nvPicPr>
        <xdr:cNvPr id="7" name="Imag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49119"/>
          <a:ext cx="4820995" cy="3409200"/>
        </a:xfrm>
        <a:prstGeom prst="rect">
          <a:avLst/>
        </a:prstGeom>
      </xdr:spPr>
    </xdr:pic>
    <xdr:clientData/>
  </xdr:twoCellAnchor>
  <xdr:twoCellAnchor editAs="oneCell">
    <xdr:from>
      <xdr:col>0</xdr:col>
      <xdr:colOff>0</xdr:colOff>
      <xdr:row>17</xdr:row>
      <xdr:rowOff>20588</xdr:rowOff>
    </xdr:from>
    <xdr:to>
      <xdr:col>6</xdr:col>
      <xdr:colOff>148159</xdr:colOff>
      <xdr:row>36</xdr:row>
      <xdr:rowOff>129507</xdr:rowOff>
    </xdr:to>
    <xdr:pic>
      <xdr:nvPicPr>
        <xdr:cNvPr id="9" name="Image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3459113"/>
          <a:ext cx="4720159" cy="33378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27</xdr:row>
      <xdr:rowOff>57150</xdr:rowOff>
    </xdr:from>
    <xdr:to>
      <xdr:col>12</xdr:col>
      <xdr:colOff>0</xdr:colOff>
      <xdr:row>64</xdr:row>
      <xdr:rowOff>47625</xdr:rowOff>
    </xdr:to>
    <xdr:graphicFrame macro="">
      <xdr:nvGraphicFramePr>
        <xdr:cNvPr id="212103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27</xdr:row>
      <xdr:rowOff>57150</xdr:rowOff>
    </xdr:from>
    <xdr:to>
      <xdr:col>12</xdr:col>
      <xdr:colOff>0</xdr:colOff>
      <xdr:row>64</xdr:row>
      <xdr:rowOff>47625</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2.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688975</xdr:colOff>
      <xdr:row>19</xdr:row>
      <xdr:rowOff>68790</xdr:rowOff>
    </xdr:from>
    <xdr:to>
      <xdr:col>10</xdr:col>
      <xdr:colOff>615950</xdr:colOff>
      <xdr:row>47</xdr:row>
      <xdr:rowOff>126999</xdr:rowOff>
    </xdr:to>
    <xdr:graphicFrame macro="">
      <xdr:nvGraphicFramePr>
        <xdr:cNvPr id="20503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688975</xdr:colOff>
      <xdr:row>19</xdr:row>
      <xdr:rowOff>68790</xdr:rowOff>
    </xdr:from>
    <xdr:to>
      <xdr:col>10</xdr:col>
      <xdr:colOff>615950</xdr:colOff>
      <xdr:row>47</xdr:row>
      <xdr:rowOff>126999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0.00255</cdr:x>
      <cdr:y>0.84287</cdr:y>
    </cdr:from>
    <cdr:to>
      <cdr:x>1</cdr:x>
      <cdr:y>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513" y="3974027"/>
          <a:ext cx="8023879" cy="7408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sz="1100" i="1">
              <a:effectLst/>
              <a:latin typeface="+mn-lt"/>
              <a:ea typeface="+mn-ea"/>
              <a:cs typeface="+mn-cs"/>
            </a:rPr>
            <a:t>(1) y compris les étudiants étrangers ayant obtenu un baccalauréat ou une équivalence sur le territoire français. En 2021-22, ils sont au nombre de 89 800 (soit 3,6 % des étudiants Français ou résidents). </a:t>
          </a:r>
          <a:endParaRPr lang="fr-FR">
            <a:effectLst/>
          </a:endParaRPr>
        </a:p>
        <a:p xmlns:a="http://schemas.openxmlformats.org/drawingml/2006/main">
          <a:r>
            <a:rPr lang="fr-FR" sz="1100" i="1">
              <a:effectLst/>
              <a:latin typeface="+mn-lt"/>
              <a:ea typeface="+mn-ea"/>
              <a:cs typeface="+mn-cs"/>
            </a:rPr>
            <a:t>(2) hors</a:t>
          </a:r>
          <a:r>
            <a:rPr lang="fr-FR" sz="1100" i="1" baseline="0">
              <a:effectLst/>
              <a:latin typeface="+mn-lt"/>
              <a:ea typeface="+mn-ea"/>
              <a:cs typeface="+mn-cs"/>
            </a:rPr>
            <a:t> étudiants en STS en apprentissage, pour lesquels la mobilité n'est pas calculée.</a:t>
          </a:r>
          <a:endParaRPr lang="fr-FR">
            <a:effectLst/>
          </a:endParaRPr>
        </a:p>
        <a:p xmlns:a="http://schemas.openxmlformats.org/drawingml/2006/main">
          <a:endParaRPr lang="fr-F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86845</xdr:colOff>
      <xdr:row>15</xdr:row>
      <xdr:rowOff>9525</xdr:rowOff>
    </xdr:from>
    <xdr:to>
      <xdr:col>9</xdr:col>
      <xdr:colOff>224117</xdr:colOff>
      <xdr:row>48</xdr:row>
      <xdr:rowOff>0</xdr:rowOff>
    </xdr:to>
    <xdr:graphicFrame macro="">
      <xdr:nvGraphicFramePr>
        <xdr:cNvPr id="20547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39</xdr:row>
      <xdr:rowOff>19050</xdr:rowOff>
    </xdr:from>
    <xdr:to>
      <xdr:col>4</xdr:col>
      <xdr:colOff>171450</xdr:colOff>
      <xdr:row>40</xdr:row>
      <xdr:rowOff>47625</xdr:rowOff>
    </xdr:to>
    <xdr:sp macro="" textlink="">
      <xdr:nvSpPr>
        <xdr:cNvPr id="2054762" name="Text Box 2"/>
        <xdr:cNvSpPr txBox="1">
          <a:spLocks noChangeArrowheads="1"/>
        </xdr:cNvSpPr>
      </xdr:nvSpPr>
      <xdr:spPr bwMode="auto">
        <a:xfrm>
          <a:off x="66675" y="7077075"/>
          <a:ext cx="5476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7.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0.01066</cdr:x>
      <cdr:y>0.86989</cdr:y>
    </cdr:from>
    <cdr:to>
      <cdr:x>0.99715</cdr:x>
      <cdr:y>0.9588</cdr:y>
    </cdr:to>
    <cdr:sp macro="" textlink="">
      <cdr:nvSpPr>
        <cdr:cNvPr id="3" name="ZoneTexte 2"/>
        <cdr:cNvSpPr txBox="1"/>
      </cdr:nvSpPr>
      <cdr:spPr>
        <a:xfrm xmlns:a="http://schemas.openxmlformats.org/drawingml/2006/main">
          <a:off x="93205" y="4495238"/>
          <a:ext cx="8625266" cy="4594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 hors préparation au DUT ou BUT et formations d'ingénieurs.</a:t>
          </a:r>
        </a:p>
        <a:p xmlns:a="http://schemas.openxmlformats.org/drawingml/2006/main">
          <a:pPr>
            <a:lnSpc>
              <a:spcPts val="1000"/>
            </a:lnSpc>
          </a:pPr>
          <a:r>
            <a:rPr lang="fr-FR" sz="1000">
              <a:latin typeface="Arial" panose="020B0604020202020204" pitchFamily="34" charset="0"/>
              <a:cs typeface="Arial" panose="020B0604020202020204" pitchFamily="34" charset="0"/>
            </a:rPr>
            <a:t>(2) y compris formations universitaires et formations d'ingénieurs en partenariat.</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24</xdr:row>
      <xdr:rowOff>133350</xdr:rowOff>
    </xdr:from>
    <xdr:to>
      <xdr:col>8</xdr:col>
      <xdr:colOff>104775</xdr:colOff>
      <xdr:row>56</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0.4363</cdr:x>
      <cdr:y>0.28385</cdr:y>
    </cdr:from>
    <cdr:to>
      <cdr:x>0.53458</cdr:x>
      <cdr:y>0.43423</cdr:y>
    </cdr:to>
    <cdr:sp macro="" textlink="">
      <cdr:nvSpPr>
        <cdr:cNvPr id="2" name="ZoneTexte 1"/>
        <cdr:cNvSpPr txBox="1"/>
      </cdr:nvSpPr>
      <cdr:spPr>
        <a:xfrm xmlns:a="http://schemas.openxmlformats.org/drawingml/2006/main">
          <a:off x="3100195" y="1386999"/>
          <a:ext cx="698343" cy="7348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100" b="1">
              <a:solidFill>
                <a:schemeClr val="bg1"/>
              </a:solidFill>
            </a:rPr>
            <a:t>Amérique </a:t>
          </a:r>
        </a:p>
        <a:p xmlns:a="http://schemas.openxmlformats.org/drawingml/2006/main">
          <a:pPr algn="ctr"/>
          <a:r>
            <a:rPr lang="fr-FR" sz="1100" b="1">
              <a:solidFill>
                <a:schemeClr val="bg1"/>
              </a:solidFill>
            </a:rPr>
            <a:t>9 %</a:t>
          </a:r>
        </a:p>
      </cdr:txBody>
    </cdr:sp>
  </cdr:relSizeAnchor>
  <cdr:relSizeAnchor xmlns:cdr="http://schemas.openxmlformats.org/drawingml/2006/chartDrawing">
    <cdr:from>
      <cdr:x>0.55567</cdr:x>
      <cdr:y>0.45073</cdr:y>
    </cdr:from>
    <cdr:to>
      <cdr:x>0.65395</cdr:x>
      <cdr:y>0.6011</cdr:y>
    </cdr:to>
    <cdr:sp macro="" textlink="">
      <cdr:nvSpPr>
        <cdr:cNvPr id="3" name="ZoneTexte 1"/>
        <cdr:cNvSpPr txBox="1"/>
      </cdr:nvSpPr>
      <cdr:spPr>
        <a:xfrm xmlns:a="http://schemas.openxmlformats.org/drawingml/2006/main">
          <a:off x="3948416" y="2202389"/>
          <a:ext cx="698343" cy="7348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50</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0.00546</cdr:x>
      <cdr:y>0.00835</cdr:y>
    </cdr:from>
    <cdr:to>
      <cdr:x>0.10374</cdr:x>
      <cdr:y>0.15873</cdr:y>
    </cdr:to>
    <cdr:sp macro="" textlink="">
      <cdr:nvSpPr>
        <cdr:cNvPr id="4" name="ZoneTexte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11%</a:t>
          </a:r>
        </a:p>
      </cdr:txBody>
    </cdr:sp>
  </cdr:relSizeAnchor>
  <cdr:relSizeAnchor xmlns:cdr="http://schemas.openxmlformats.org/drawingml/2006/chartDrawing">
    <cdr:from>
      <cdr:x>0.40233</cdr:x>
      <cdr:y>0.58967</cdr:y>
    </cdr:from>
    <cdr:to>
      <cdr:x>0.50061</cdr:x>
      <cdr:y>0.74005</cdr:y>
    </cdr:to>
    <cdr:sp macro="" textlink="">
      <cdr:nvSpPr>
        <cdr:cNvPr id="5" name="ZoneTexte 1"/>
        <cdr:cNvSpPr txBox="1"/>
      </cdr:nvSpPr>
      <cdr:spPr>
        <a:xfrm xmlns:a="http://schemas.openxmlformats.org/drawingml/2006/main">
          <a:off x="2858844" y="2881320"/>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Asie, Océanie</a:t>
          </a:r>
        </a:p>
        <a:p xmlns:a="http://schemas.openxmlformats.org/drawingml/2006/main">
          <a:pPr algn="ctr"/>
          <a:r>
            <a:rPr lang="fr-FR" sz="1100" b="1">
              <a:solidFill>
                <a:schemeClr val="bg1"/>
              </a:solidFill>
            </a:rPr>
            <a:t>22</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0.36978</cdr:x>
      <cdr:y>0.39676</cdr:y>
    </cdr:from>
    <cdr:to>
      <cdr:x>0.46806</cdr:x>
      <cdr:y>0.54714</cdr:y>
    </cdr:to>
    <cdr:sp macro="" textlink="">
      <cdr:nvSpPr>
        <cdr:cNvPr id="6" name="ZoneTexte 1"/>
        <cdr:cNvSpPr txBox="1"/>
      </cdr:nvSpPr>
      <cdr:spPr>
        <a:xfrm xmlns:a="http://schemas.openxmlformats.org/drawingml/2006/main">
          <a:off x="2627534" y="1938707"/>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Europe</a:t>
          </a:r>
        </a:p>
        <a:p xmlns:a="http://schemas.openxmlformats.org/drawingml/2006/main">
          <a:pPr algn="ctr"/>
          <a:r>
            <a:rPr lang="fr-FR" sz="1100" b="1">
              <a:solidFill>
                <a:schemeClr val="bg1"/>
              </a:solidFill>
            </a:rPr>
            <a:t>19 %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58270</xdr:colOff>
      <xdr:row>10</xdr:row>
      <xdr:rowOff>66675</xdr:rowOff>
    </xdr:from>
    <xdr:to>
      <xdr:col>10</xdr:col>
      <xdr:colOff>19050</xdr:colOff>
      <xdr:row>43</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34</xdr:row>
      <xdr:rowOff>19050</xdr:rowOff>
    </xdr:from>
    <xdr:to>
      <xdr:col>4</xdr:col>
      <xdr:colOff>171450</xdr:colOff>
      <xdr:row>35</xdr:row>
      <xdr:rowOff>47625</xdr:rowOff>
    </xdr:to>
    <xdr:sp macro="" textlink="">
      <xdr:nvSpPr>
        <xdr:cNvPr id="3" name="Text Box 2"/>
        <xdr:cNvSpPr txBox="1">
          <a:spLocks noChangeArrowheads="1"/>
        </xdr:cNvSpPr>
      </xdr:nvSpPr>
      <xdr:spPr bwMode="auto">
        <a:xfrm>
          <a:off x="66675" y="5953125"/>
          <a:ext cx="5257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0.00471</cdr:x>
      <cdr:y>0.93609</cdr:y>
    </cdr:from>
    <cdr:to>
      <cdr:x>0.9912</cdr:x>
      <cdr:y>0.97321</cdr:y>
    </cdr:to>
    <cdr:sp macro="" textlink="">
      <cdr:nvSpPr>
        <cdr:cNvPr id="3" name="ZoneTexte 2"/>
        <cdr:cNvSpPr txBox="1"/>
      </cdr:nvSpPr>
      <cdr:spPr>
        <a:xfrm xmlns:a="http://schemas.openxmlformats.org/drawingml/2006/main">
          <a:off x="45187" y="4993104"/>
          <a:ext cx="9470383" cy="1980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a:t>
          </a:r>
          <a:r>
            <a:rPr lang="fr-FR" sz="1000" baseline="0">
              <a:latin typeface="Arial" panose="020B0604020202020204" pitchFamily="34" charset="0"/>
              <a:cs typeface="Arial" panose="020B0604020202020204" pitchFamily="34" charset="0"/>
            </a:rPr>
            <a:t> y compris Lorraine</a:t>
          </a:r>
          <a:endParaRPr lang="fr-FR" sz="10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58270</xdr:colOff>
      <xdr:row>19</xdr:row>
      <xdr:rowOff>66675</xdr:rowOff>
    </xdr:from>
    <xdr:to>
      <xdr:col>10</xdr:col>
      <xdr:colOff>19050</xdr:colOff>
      <xdr:row>54</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43</xdr:row>
      <xdr:rowOff>19050</xdr:rowOff>
    </xdr:from>
    <xdr:to>
      <xdr:col>4</xdr:col>
      <xdr:colOff>171450</xdr:colOff>
      <xdr:row>44</xdr:row>
      <xdr:rowOff>47625</xdr:rowOff>
    </xdr:to>
    <xdr:sp macro="" textlink="">
      <xdr:nvSpPr>
        <xdr:cNvPr id="3" name="Text Box 2"/>
        <xdr:cNvSpPr txBox="1">
          <a:spLocks noChangeArrowheads="1"/>
        </xdr:cNvSpPr>
      </xdr:nvSpPr>
      <xdr:spPr bwMode="auto">
        <a:xfrm>
          <a:off x="66675" y="7800975"/>
          <a:ext cx="5410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0.00471</cdr:x>
      <cdr:y>0.93609</cdr:y>
    </cdr:from>
    <cdr:to>
      <cdr:x>0.9912</cdr:x>
      <cdr:y>0.99669</cdr:y>
    </cdr:to>
    <cdr:sp macro="" textlink="">
      <cdr:nvSpPr>
        <cdr:cNvPr id="3" name="ZoneTexte 2"/>
        <cdr:cNvSpPr txBox="1"/>
      </cdr:nvSpPr>
      <cdr:spPr>
        <a:xfrm xmlns:a="http://schemas.openxmlformats.org/drawingml/2006/main">
          <a:off x="45934" y="5394335"/>
          <a:ext cx="9620724" cy="3492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a:t>
          </a:r>
          <a:r>
            <a:rPr lang="fr-FR" sz="1000" baseline="0">
              <a:latin typeface="Arial" panose="020B0604020202020204" pitchFamily="34" charset="0"/>
              <a:cs typeface="Arial" panose="020B0604020202020204" pitchFamily="34" charset="0"/>
            </a:rPr>
            <a:t> Y compris Mayotte, devenu un DOM à partir de 2011.</a:t>
          </a:r>
        </a:p>
        <a:p xmlns:a="http://schemas.openxmlformats.org/drawingml/2006/main">
          <a:pPr>
            <a:lnSpc>
              <a:spcPts val="1000"/>
            </a:lnSpc>
          </a:pPr>
          <a:r>
            <a:rPr lang="fr-FR" sz="1000" baseline="0">
              <a:latin typeface="Arial" panose="020B0604020202020204" pitchFamily="34" charset="0"/>
              <a:cs typeface="Arial" panose="020B0604020202020204" pitchFamily="34" charset="0"/>
            </a:rPr>
            <a:t>(2) Données provisoires en 2021-2022 pour les formations paramédicales et sociales (reconduction des données 2020-2021). </a:t>
          </a:r>
        </a:p>
        <a:p xmlns:a="http://schemas.openxmlformats.org/drawingml/2006/main">
          <a:pPr>
            <a:lnSpc>
              <a:spcPts val="1000"/>
            </a:lnSpc>
          </a:pPr>
          <a:r>
            <a:rPr lang="fr-FR" sz="1000" baseline="0">
              <a:latin typeface="Arial" panose="020B0604020202020204" pitchFamily="34" charset="0"/>
              <a:cs typeface="Arial" panose="020B0604020202020204" pitchFamily="34" charset="0"/>
            </a:rPr>
            <a:t> </a:t>
          </a:r>
          <a:endParaRPr lang="fr-FR" sz="1000">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11206</xdr:colOff>
      <xdr:row>22</xdr:row>
      <xdr:rowOff>11206</xdr:rowOff>
    </xdr:from>
    <xdr:to>
      <xdr:col>11</xdr:col>
      <xdr:colOff>0</xdr:colOff>
      <xdr:row>46</xdr:row>
      <xdr:rowOff>16249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22</xdr:row>
      <xdr:rowOff>0</xdr:rowOff>
    </xdr:from>
    <xdr:to>
      <xdr:col>6</xdr:col>
      <xdr:colOff>1219201</xdr:colOff>
      <xdr:row>55</xdr:row>
      <xdr:rowOff>9525</xdr:rowOff>
    </xdr:to>
    <xdr:graphicFrame macro="">
      <xdr:nvGraphicFramePr>
        <xdr:cNvPr id="2134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0.16396</cdr:x>
      <cdr:y>0.42543</cdr:y>
    </cdr:from>
    <cdr:to>
      <cdr:x>0.34586</cdr:x>
      <cdr:y>0.47491</cdr:y>
    </cdr:to>
    <cdr:sp macro="" textlink="">
      <cdr:nvSpPr>
        <cdr:cNvPr id="2" name="ZoneTexte 1"/>
        <cdr:cNvSpPr txBox="1"/>
      </cdr:nvSpPr>
      <cdr:spPr>
        <a:xfrm xmlns:a="http://schemas.openxmlformats.org/drawingml/2006/main">
          <a:off x="1413373" y="2277363"/>
          <a:ext cx="1567952" cy="26486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000" b="1">
              <a:solidFill>
                <a:sysClr val="windowText" lastClr="000000"/>
              </a:solidFill>
              <a:latin typeface="Arial" panose="020B0604020202020204" pitchFamily="34" charset="0"/>
              <a:cs typeface="Arial" panose="020B0604020202020204" pitchFamily="34" charset="0"/>
            </a:rPr>
            <a:t>Ensemble des étudiants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showGridLines="0" tabSelected="1" zoomScale="107" workbookViewId="0">
      <selection activeCell="A2" sqref="A2"/>
    </sheetView>
  </sheetViews>
  <sheetFormatPr baseColWidth="10" defaultRowHeight="12.75" x14ac:dyDescent="0.2"/>
  <sheetData>
    <row r="2" spans="1:10" ht="15.75" x14ac:dyDescent="0.25">
      <c r="A2" s="168" t="s">
        <v>188</v>
      </c>
    </row>
    <row r="4" spans="1:10" ht="20.25" customHeight="1" x14ac:dyDescent="0.2">
      <c r="A4" s="76" t="str">
        <f>'Tableau 1'!$A$1</f>
        <v>Tableau 1 - Nombre d'étudiants inscrits dans l'enseignement supérieur en fonction de la filière et du type d'établissement en 2021-2022  (en milliers)</v>
      </c>
      <c r="B4" s="77"/>
      <c r="C4" s="77"/>
      <c r="D4" s="77"/>
      <c r="E4" s="77"/>
      <c r="F4" s="77"/>
      <c r="G4" s="77"/>
      <c r="H4" s="77"/>
      <c r="I4" s="77"/>
      <c r="J4" s="77"/>
    </row>
    <row r="5" spans="1:10" ht="24.75" customHeight="1" x14ac:dyDescent="0.2">
      <c r="A5" s="75" t="str">
        <f>'Tableau 2'!$A$1</f>
        <v>Tableau 2 - Évolution du nombre d'étudiants bénéficiant d'une aide financière</v>
      </c>
      <c r="B5" s="77"/>
      <c r="C5" s="77"/>
      <c r="D5" s="77"/>
      <c r="E5" s="77"/>
      <c r="F5" s="77"/>
      <c r="G5" s="77"/>
      <c r="H5" s="77"/>
      <c r="I5" s="77"/>
      <c r="J5" s="77"/>
    </row>
    <row r="6" spans="1:10" ht="29.25" customHeight="1" x14ac:dyDescent="0.2">
      <c r="A6" s="78" t="str">
        <f>'Tableau 3'!$A$1</f>
        <v>Tableau 3 - Répartition par académie des principales filières de l'enseignement supérieur en 2021-2022, évolution par rapport à 2020-2021</v>
      </c>
      <c r="B6" s="77"/>
      <c r="C6" s="77"/>
      <c r="D6" s="77"/>
      <c r="E6" s="77"/>
      <c r="F6" s="77"/>
      <c r="G6" s="77"/>
      <c r="H6" s="77"/>
      <c r="I6" s="77"/>
      <c r="J6" s="77"/>
    </row>
    <row r="7" spans="1:10" ht="24" customHeight="1" x14ac:dyDescent="0.2">
      <c r="A7" s="75" t="s">
        <v>162</v>
      </c>
      <c r="B7" s="75"/>
      <c r="C7" s="75"/>
      <c r="D7" s="77"/>
      <c r="E7" s="77"/>
      <c r="F7" s="77"/>
      <c r="G7" s="77"/>
      <c r="H7" s="77"/>
      <c r="I7" s="77"/>
      <c r="J7" s="77"/>
    </row>
    <row r="8" spans="1:10" ht="24" customHeight="1" x14ac:dyDescent="0.2">
      <c r="A8" s="79" t="str">
        <f>'Graphique 1'!$A$1</f>
        <v>Graphique 1 - Évolution des effectifs de l'enseignement supérieur et de l'université (en milliers)</v>
      </c>
      <c r="B8" s="75"/>
      <c r="C8" s="75"/>
      <c r="D8" s="77"/>
      <c r="E8" s="77"/>
      <c r="F8" s="77"/>
      <c r="G8" s="77"/>
      <c r="H8" s="77"/>
      <c r="I8" s="77"/>
      <c r="J8" s="77"/>
    </row>
    <row r="9" spans="1:10" ht="24" customHeight="1" x14ac:dyDescent="0.2">
      <c r="A9" s="79" t="str">
        <f>'Graphique 2'!$A$1</f>
        <v>Graphique 2 - Évolution des effectifs de l'enseignement supérieur, détail des disciplines (en milliers)</v>
      </c>
      <c r="B9" s="75"/>
      <c r="C9" s="75"/>
      <c r="D9" s="77"/>
      <c r="E9" s="77"/>
      <c r="F9" s="77"/>
      <c r="G9" s="77"/>
      <c r="H9" s="77"/>
      <c r="I9" s="77"/>
      <c r="J9" s="77"/>
    </row>
    <row r="10" spans="1:10" ht="25.5" customHeight="1" x14ac:dyDescent="0.2">
      <c r="A10" s="79" t="str">
        <f>'Graphique 3'!$A$1</f>
        <v xml:space="preserve">Graphique 3 - Évolution des effectifs d'inscrits dans l'enseignement supérieur, selon le secteur et la tutelle depuis 2010, base 100 en 2010 </v>
      </c>
      <c r="B10" s="77"/>
      <c r="C10" s="77"/>
      <c r="D10" s="77"/>
      <c r="E10" s="77"/>
      <c r="F10" s="77"/>
      <c r="G10" s="77"/>
      <c r="H10" s="77"/>
      <c r="I10" s="77"/>
      <c r="J10" s="77"/>
    </row>
    <row r="11" spans="1:10" ht="26.25" customHeight="1" x14ac:dyDescent="0.2">
      <c r="A11" s="75" t="str">
        <f>'Graphique 4'!$A$1</f>
        <v>Graphique 4 - Part des femmes dans les différentes formations d'enseignement supérieur (en %)</v>
      </c>
      <c r="B11" s="77"/>
      <c r="C11" s="77"/>
      <c r="D11" s="77"/>
      <c r="E11" s="77"/>
      <c r="F11" s="77"/>
      <c r="G11" s="77"/>
      <c r="H11" s="77"/>
      <c r="I11" s="77"/>
      <c r="J11" s="77"/>
    </row>
    <row r="12" spans="1:10" ht="21" customHeight="1" x14ac:dyDescent="0.2">
      <c r="A12" s="75" t="str">
        <f>'Graphique 5'!$A$1</f>
        <v>Graphique 5 - Origine sociale* des étudiants français en 2021-2022 (en %)</v>
      </c>
      <c r="B12" s="77"/>
      <c r="C12" s="77"/>
      <c r="D12" s="77"/>
      <c r="E12" s="77"/>
      <c r="F12" s="77"/>
      <c r="G12" s="77"/>
      <c r="H12" s="77"/>
      <c r="I12" s="77"/>
      <c r="J12" s="77"/>
    </row>
    <row r="13" spans="1:10" ht="22.5" customHeight="1" x14ac:dyDescent="0.2">
      <c r="A13" s="75" t="str">
        <f>'Graphique 6'!$A$1</f>
        <v>Graphique 6 - Évolution des effectifs étudiants français et étrangers en mobilité internationale depuis 2012 (base 100)</v>
      </c>
      <c r="B13" s="77"/>
      <c r="C13" s="77"/>
      <c r="D13" s="77"/>
      <c r="E13" s="77"/>
      <c r="F13" s="77"/>
      <c r="G13" s="77"/>
      <c r="H13" s="77"/>
      <c r="I13" s="77"/>
      <c r="J13" s="77"/>
    </row>
    <row r="14" spans="1:10" ht="22.5" customHeight="1" x14ac:dyDescent="0.2">
      <c r="A14" s="75" t="str">
        <f>'Graphique 7'!$A$1</f>
        <v>Graphique 7 - Évolution de la proportion d'étudiants étrangers en mobilité internationale  dans les principales formations de l'enseignement supérieur</v>
      </c>
      <c r="B14" s="77"/>
      <c r="C14" s="77"/>
      <c r="D14" s="77"/>
      <c r="E14" s="77"/>
      <c r="F14" s="77"/>
      <c r="G14" s="77"/>
      <c r="H14" s="77"/>
      <c r="I14" s="77"/>
      <c r="J14" s="77"/>
    </row>
    <row r="15" spans="1:10" ht="22.5" customHeight="1" x14ac:dyDescent="0.2">
      <c r="A15" s="75" t="str">
        <f>'Annexe 1'!A1</f>
        <v>Annexe 1 - Évolution des effectifs de l'enseignement supérieur (en milliers)</v>
      </c>
      <c r="B15" s="77"/>
      <c r="C15" s="77"/>
      <c r="D15" s="77"/>
      <c r="E15" s="77"/>
      <c r="F15" s="77"/>
      <c r="G15" s="77"/>
      <c r="H15" s="77"/>
      <c r="I15" s="77"/>
      <c r="J15" s="77"/>
    </row>
    <row r="16" spans="1:10" ht="22.5" customHeight="1" x14ac:dyDescent="0.2">
      <c r="A16" s="75" t="str">
        <f>'Annexe 2'!A1</f>
        <v>Annexe 2 - Répartition des effectifs des universités françaises selon le cursus et la discipline en 2021 - 2022, périmètre historique (1)</v>
      </c>
      <c r="B16" s="77"/>
      <c r="C16" s="77"/>
      <c r="D16" s="77"/>
      <c r="E16" s="77"/>
      <c r="F16" s="77"/>
      <c r="G16" s="77"/>
      <c r="H16" s="77"/>
      <c r="I16" s="77"/>
      <c r="J16" s="77"/>
    </row>
    <row r="17" spans="1:10" ht="22.5" customHeight="1" x14ac:dyDescent="0.2">
      <c r="A17" s="75" t="str">
        <f>'Annexe 3'!A1</f>
        <v>Annexe 3 -Évolution des étudiants étrangers en mobilité internationale par continent de provenance de 2014 à 2021</v>
      </c>
      <c r="B17" s="77"/>
      <c r="C17" s="77"/>
      <c r="D17" s="77"/>
      <c r="E17" s="77"/>
      <c r="F17" s="77"/>
      <c r="G17" s="77"/>
      <c r="H17" s="77"/>
      <c r="I17" s="77"/>
      <c r="J17" s="77"/>
    </row>
    <row r="18" spans="1:10" ht="22.5" customHeight="1" x14ac:dyDescent="0.2">
      <c r="A18" s="75" t="str">
        <f>'Annexe 4'!A1</f>
        <v>Annexe 4 - Répartition des étudiants étrangers dans l'enseignement supérieur par nationalité en 2021-2022</v>
      </c>
      <c r="B18" s="77"/>
      <c r="C18" s="77"/>
      <c r="D18" s="77"/>
      <c r="E18" s="77"/>
      <c r="F18" s="77"/>
      <c r="G18" s="77"/>
      <c r="H18" s="77"/>
      <c r="I18" s="77"/>
      <c r="J18" s="77"/>
    </row>
    <row r="19" spans="1:10" ht="22.5" customHeight="1" x14ac:dyDescent="0.2">
      <c r="A19" s="75"/>
      <c r="B19" s="77"/>
      <c r="C19" s="77"/>
      <c r="D19" s="77"/>
      <c r="E19" s="77"/>
      <c r="F19" s="77"/>
      <c r="G19" s="77"/>
      <c r="H19" s="77"/>
      <c r="I19" s="77"/>
      <c r="J19" s="77"/>
    </row>
  </sheetData>
  <hyperlinks>
    <hyperlink ref="A5" location="'Tableau 2'!A1" display="'Tableau 2'!A1"/>
    <hyperlink ref="A6" location="'Tableau 3'!A1" display="'Tableau 3'!A1"/>
    <hyperlink ref="A7:C7" location="Cartes!A1" display="Cartes"/>
    <hyperlink ref="A10" location="'Graphique 3'!A1" display="'Graphique 3'!A1"/>
    <hyperlink ref="A11" location="'Graphique 4'!A1" display="'Graphique 4'!A1"/>
    <hyperlink ref="A12" location="'Graphique 5'!A1" display="'Graphique 5'!A1"/>
    <hyperlink ref="A13" location="'Graphique 6'!A1" display="'Graphique 6'!A1"/>
    <hyperlink ref="A14" location="'Graphique 7'!A1" display="'Graphique 7'!A1"/>
    <hyperlink ref="A16" location="'Annexe 2'!A1" display="'Annexe 2'!A1"/>
    <hyperlink ref="A17" location="'Annexe 3'!A1" display="'Annexe 3'!A1"/>
    <hyperlink ref="A4" location="'Tableau 1'!A1" display="'Tableau 1'!A1"/>
    <hyperlink ref="A7" location="Cartes!A1" display="Cartes"/>
    <hyperlink ref="A8" location="'Graphique 1'!A1" display="'Graphique 1'!A1"/>
    <hyperlink ref="A9" location="'Graphique 2'!A1" display="'Graphique 2'!A1"/>
    <hyperlink ref="A15" location="'Annexe 1'!A1" display="'Annexe 1'!A1"/>
    <hyperlink ref="A18" location="'Annexe 4'!A1" display="'Annexe 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71"/>
  <sheetViews>
    <sheetView showGridLines="0" workbookViewId="0"/>
  </sheetViews>
  <sheetFormatPr baseColWidth="10" defaultRowHeight="12.75" x14ac:dyDescent="0.2"/>
  <cols>
    <col min="1" max="1" width="11.28515625" style="171" customWidth="1"/>
    <col min="2" max="2" width="33.5703125" style="171" customWidth="1"/>
    <col min="3" max="3" width="11.42578125" style="171"/>
    <col min="4" max="4" width="12.7109375" style="171" customWidth="1"/>
    <col min="5" max="5" width="12.42578125" style="171" customWidth="1"/>
    <col min="6" max="11" width="11.42578125" style="171"/>
    <col min="12" max="12" width="13.5703125" style="171" bestFit="1" customWidth="1"/>
    <col min="13" max="16384" width="11.42578125" style="171"/>
  </cols>
  <sheetData>
    <row r="1" spans="1:13" ht="24" customHeight="1" x14ac:dyDescent="0.2">
      <c r="A1" s="55" t="s">
        <v>309</v>
      </c>
    </row>
    <row r="2" spans="1:13" ht="24" customHeight="1" thickBot="1" x14ac:dyDescent="0.25">
      <c r="A2" s="388" t="s">
        <v>346</v>
      </c>
    </row>
    <row r="3" spans="1:13" ht="73.5" customHeight="1" x14ac:dyDescent="0.2">
      <c r="A3" s="233"/>
      <c r="B3" s="234"/>
      <c r="C3" s="235" t="s">
        <v>101</v>
      </c>
      <c r="D3" s="235" t="s">
        <v>100</v>
      </c>
      <c r="E3" s="235" t="s">
        <v>99</v>
      </c>
      <c r="F3" s="235" t="s">
        <v>98</v>
      </c>
      <c r="G3" s="235" t="s">
        <v>97</v>
      </c>
      <c r="H3" s="235" t="s">
        <v>96</v>
      </c>
      <c r="I3" s="235" t="s">
        <v>9</v>
      </c>
      <c r="J3" s="236" t="s">
        <v>107</v>
      </c>
      <c r="K3" s="246"/>
      <c r="L3" s="246"/>
      <c r="M3" s="246"/>
    </row>
    <row r="4" spans="1:13" ht="12.75" customHeight="1" x14ac:dyDescent="0.2">
      <c r="A4" s="237"/>
      <c r="B4" s="238" t="s">
        <v>8</v>
      </c>
      <c r="C4" s="239">
        <v>10.3616782179314</v>
      </c>
      <c r="D4" s="239">
        <v>33.860290589963313</v>
      </c>
      <c r="E4" s="239">
        <v>13.886982130599412</v>
      </c>
      <c r="F4" s="239">
        <v>17.047433995409015</v>
      </c>
      <c r="G4" s="239">
        <v>11.698884730925652</v>
      </c>
      <c r="H4" s="239">
        <v>13.144730335171204</v>
      </c>
      <c r="I4" s="240">
        <v>99.999999999999986</v>
      </c>
      <c r="J4" s="241">
        <v>15.616818027879528</v>
      </c>
      <c r="K4" s="246"/>
      <c r="L4" s="246"/>
      <c r="M4" s="246"/>
    </row>
    <row r="5" spans="1:13" ht="12.75" customHeight="1" x14ac:dyDescent="0.2">
      <c r="A5" s="242"/>
      <c r="B5" s="243"/>
      <c r="C5" s="244"/>
      <c r="D5" s="244"/>
      <c r="E5" s="244"/>
      <c r="F5" s="244"/>
      <c r="G5" s="244"/>
      <c r="H5" s="244"/>
      <c r="I5" s="244"/>
      <c r="J5" s="245"/>
      <c r="L5" s="246"/>
    </row>
    <row r="6" spans="1:13" x14ac:dyDescent="0.2">
      <c r="A6" s="247"/>
      <c r="B6" s="248" t="s">
        <v>234</v>
      </c>
      <c r="C6" s="249">
        <v>11.7</v>
      </c>
      <c r="D6" s="249">
        <v>15.53</v>
      </c>
      <c r="E6" s="249">
        <v>14.6</v>
      </c>
      <c r="F6" s="249">
        <v>19.64</v>
      </c>
      <c r="G6" s="249">
        <v>22.53</v>
      </c>
      <c r="H6" s="249">
        <v>16</v>
      </c>
      <c r="I6" s="250">
        <v>100</v>
      </c>
      <c r="J6" s="338">
        <v>9.89</v>
      </c>
      <c r="L6" s="246"/>
    </row>
    <row r="7" spans="1:13" x14ac:dyDescent="0.2">
      <c r="A7" s="252"/>
      <c r="B7" s="253" t="s">
        <v>106</v>
      </c>
      <c r="C7" s="254">
        <v>15.13</v>
      </c>
      <c r="D7" s="254">
        <v>23.49</v>
      </c>
      <c r="E7" s="254">
        <v>9.3000000000000007</v>
      </c>
      <c r="F7" s="254">
        <v>31.33</v>
      </c>
      <c r="G7" s="254">
        <v>18.739999999999998</v>
      </c>
      <c r="H7" s="254">
        <v>2.0099999999999998</v>
      </c>
      <c r="I7" s="244">
        <v>99.999999999999986</v>
      </c>
      <c r="J7" s="262">
        <v>12</v>
      </c>
      <c r="L7" s="246"/>
    </row>
    <row r="8" spans="1:13" x14ac:dyDescent="0.2">
      <c r="A8" s="242"/>
      <c r="B8" s="256"/>
      <c r="C8" s="339"/>
      <c r="D8" s="256"/>
      <c r="E8" s="256"/>
      <c r="F8" s="256"/>
      <c r="G8" s="256"/>
      <c r="H8" s="256"/>
      <c r="I8" s="257"/>
      <c r="J8" s="258"/>
      <c r="L8" s="246"/>
    </row>
    <row r="9" spans="1:13" x14ac:dyDescent="0.2">
      <c r="A9" s="414" t="s">
        <v>78</v>
      </c>
      <c r="B9" s="259" t="s">
        <v>105</v>
      </c>
      <c r="C9" s="340">
        <v>8.81</v>
      </c>
      <c r="D9" s="260">
        <v>33.090000000000003</v>
      </c>
      <c r="E9" s="260">
        <v>15.34</v>
      </c>
      <c r="F9" s="260">
        <v>17.64</v>
      </c>
      <c r="G9" s="260">
        <v>10.29</v>
      </c>
      <c r="H9" s="260">
        <v>14.84</v>
      </c>
      <c r="I9" s="260">
        <v>100.00000000000001</v>
      </c>
      <c r="J9" s="251">
        <v>7.95</v>
      </c>
      <c r="L9" s="246"/>
    </row>
    <row r="10" spans="1:13" x14ac:dyDescent="0.2">
      <c r="A10" s="415"/>
      <c r="B10" s="261" t="s">
        <v>92</v>
      </c>
      <c r="C10" s="341">
        <v>8.4700000000000006</v>
      </c>
      <c r="D10" s="249">
        <v>30.38</v>
      </c>
      <c r="E10" s="249">
        <v>19.3</v>
      </c>
      <c r="F10" s="249">
        <v>21.25</v>
      </c>
      <c r="G10" s="249">
        <v>11.39</v>
      </c>
      <c r="H10" s="249">
        <v>9.1999999999999993</v>
      </c>
      <c r="I10" s="170">
        <v>100</v>
      </c>
      <c r="J10" s="255">
        <v>3.86</v>
      </c>
      <c r="K10" s="256"/>
      <c r="L10" s="246"/>
    </row>
    <row r="11" spans="1:13" x14ac:dyDescent="0.2">
      <c r="A11" s="415"/>
      <c r="B11" s="261" t="s">
        <v>93</v>
      </c>
      <c r="C11" s="341">
        <v>7.65</v>
      </c>
      <c r="D11" s="249">
        <v>26.8</v>
      </c>
      <c r="E11" s="249">
        <v>15.93</v>
      </c>
      <c r="F11" s="249">
        <v>19.82</v>
      </c>
      <c r="G11" s="249">
        <v>11.22</v>
      </c>
      <c r="H11" s="249">
        <v>18.579999999999998</v>
      </c>
      <c r="I11" s="263">
        <v>100</v>
      </c>
      <c r="J11" s="255">
        <v>8.49</v>
      </c>
      <c r="L11" s="246"/>
    </row>
    <row r="12" spans="1:13" x14ac:dyDescent="0.2">
      <c r="A12" s="415"/>
      <c r="B12" s="261" t="s">
        <v>94</v>
      </c>
      <c r="C12" s="341">
        <v>10.37</v>
      </c>
      <c r="D12" s="249">
        <v>28.14</v>
      </c>
      <c r="E12" s="249">
        <v>13.68</v>
      </c>
      <c r="F12" s="249">
        <v>18.82</v>
      </c>
      <c r="G12" s="249">
        <v>12.8</v>
      </c>
      <c r="H12" s="249">
        <v>16.18</v>
      </c>
      <c r="I12" s="263">
        <v>100</v>
      </c>
      <c r="J12" s="255">
        <v>10.4</v>
      </c>
      <c r="L12" s="246"/>
    </row>
    <row r="13" spans="1:13" x14ac:dyDescent="0.2">
      <c r="A13" s="415"/>
      <c r="B13" s="261" t="s">
        <v>271</v>
      </c>
      <c r="C13" s="341">
        <v>9.77</v>
      </c>
      <c r="D13" s="264">
        <v>30.35</v>
      </c>
      <c r="E13" s="264">
        <v>18.38</v>
      </c>
      <c r="F13" s="264">
        <v>20.43</v>
      </c>
      <c r="G13" s="264">
        <v>12.07</v>
      </c>
      <c r="H13" s="264">
        <v>8.99</v>
      </c>
      <c r="I13" s="263">
        <v>100.00000000000001</v>
      </c>
      <c r="J13" s="255">
        <v>3.11</v>
      </c>
      <c r="L13" s="246"/>
    </row>
    <row r="14" spans="1:13" x14ac:dyDescent="0.2">
      <c r="A14" s="415"/>
      <c r="B14" s="265" t="s">
        <v>90</v>
      </c>
      <c r="C14" s="341">
        <v>8.81</v>
      </c>
      <c r="D14" s="249">
        <v>33.65</v>
      </c>
      <c r="E14" s="249">
        <v>16.02</v>
      </c>
      <c r="F14" s="249">
        <v>16.98</v>
      </c>
      <c r="G14" s="249">
        <v>10.72</v>
      </c>
      <c r="H14" s="249">
        <v>13.82</v>
      </c>
      <c r="I14" s="263">
        <v>100</v>
      </c>
      <c r="J14" s="255">
        <v>6.72</v>
      </c>
      <c r="L14" s="246"/>
    </row>
    <row r="15" spans="1:13" x14ac:dyDescent="0.2">
      <c r="A15" s="415"/>
      <c r="B15" s="261" t="s">
        <v>95</v>
      </c>
      <c r="C15" s="341">
        <v>9.91</v>
      </c>
      <c r="D15" s="249">
        <v>36.299999999999997</v>
      </c>
      <c r="E15" s="249">
        <v>13.51</v>
      </c>
      <c r="F15" s="249">
        <v>17.05</v>
      </c>
      <c r="G15" s="249">
        <v>8.99</v>
      </c>
      <c r="H15" s="249">
        <v>14.24</v>
      </c>
      <c r="I15" s="263">
        <v>100</v>
      </c>
      <c r="J15" s="255">
        <v>6.26</v>
      </c>
      <c r="L15" s="246"/>
    </row>
    <row r="16" spans="1:13" x14ac:dyDescent="0.2">
      <c r="A16" s="415"/>
      <c r="B16" s="265" t="s">
        <v>104</v>
      </c>
      <c r="C16" s="341">
        <v>8.49</v>
      </c>
      <c r="D16" s="249">
        <v>45.12</v>
      </c>
      <c r="E16" s="249">
        <v>16.16</v>
      </c>
      <c r="F16" s="249">
        <v>13.3</v>
      </c>
      <c r="G16" s="249">
        <v>7.92</v>
      </c>
      <c r="H16" s="249">
        <v>9.01</v>
      </c>
      <c r="I16" s="263">
        <v>100</v>
      </c>
      <c r="J16" s="255">
        <v>3.57</v>
      </c>
      <c r="L16" s="246"/>
    </row>
    <row r="17" spans="1:12" x14ac:dyDescent="0.2">
      <c r="A17" s="416"/>
      <c r="B17" s="266" t="s">
        <v>91</v>
      </c>
      <c r="C17" s="341">
        <v>8.76</v>
      </c>
      <c r="D17" s="254">
        <v>48.8</v>
      </c>
      <c r="E17" s="254">
        <v>12.98</v>
      </c>
      <c r="F17" s="254">
        <v>10.65</v>
      </c>
      <c r="G17" s="254">
        <v>5.84</v>
      </c>
      <c r="H17" s="254">
        <v>12.96</v>
      </c>
      <c r="I17" s="267">
        <v>100</v>
      </c>
      <c r="J17" s="255">
        <v>12.34</v>
      </c>
      <c r="L17" s="246"/>
    </row>
    <row r="18" spans="1:12" x14ac:dyDescent="0.2">
      <c r="A18" s="268"/>
      <c r="B18" s="266"/>
      <c r="C18" s="342"/>
      <c r="D18" s="269"/>
      <c r="E18" s="269"/>
      <c r="F18" s="269"/>
      <c r="G18" s="269"/>
      <c r="H18" s="269"/>
      <c r="I18" s="269"/>
      <c r="J18" s="270"/>
      <c r="L18" s="246"/>
    </row>
    <row r="19" spans="1:12" x14ac:dyDescent="0.2">
      <c r="A19" s="242"/>
      <c r="B19" s="248" t="s">
        <v>89</v>
      </c>
      <c r="C19" s="249">
        <v>10.39</v>
      </c>
      <c r="D19" s="249">
        <v>53.11</v>
      </c>
      <c r="E19" s="249">
        <v>12.56</v>
      </c>
      <c r="F19" s="249">
        <v>10.94</v>
      </c>
      <c r="G19" s="249">
        <v>6.77</v>
      </c>
      <c r="H19" s="249">
        <v>6.23</v>
      </c>
      <c r="I19" s="250">
        <v>100</v>
      </c>
      <c r="J19" s="255">
        <v>2.88</v>
      </c>
      <c r="L19" s="246"/>
    </row>
    <row r="20" spans="1:12" x14ac:dyDescent="0.2">
      <c r="A20" s="242"/>
      <c r="B20" s="248" t="s">
        <v>103</v>
      </c>
      <c r="C20" s="249">
        <v>11.63</v>
      </c>
      <c r="D20" s="249">
        <v>55.17</v>
      </c>
      <c r="E20" s="249">
        <v>11.84</v>
      </c>
      <c r="F20" s="249">
        <v>9.57</v>
      </c>
      <c r="G20" s="249">
        <v>4.95</v>
      </c>
      <c r="H20" s="249">
        <v>6.84</v>
      </c>
      <c r="I20" s="250">
        <v>99.999999999999986</v>
      </c>
      <c r="J20" s="255">
        <v>8.1999999999999993</v>
      </c>
      <c r="L20" s="246"/>
    </row>
    <row r="21" spans="1:12" ht="13.5" thickBot="1" x14ac:dyDescent="0.25">
      <c r="A21" s="271"/>
      <c r="B21" s="272" t="s">
        <v>88</v>
      </c>
      <c r="C21" s="273">
        <v>6.84</v>
      </c>
      <c r="D21" s="273">
        <v>62.64</v>
      </c>
      <c r="E21" s="273">
        <v>10.59</v>
      </c>
      <c r="F21" s="273">
        <v>7.5</v>
      </c>
      <c r="G21" s="273">
        <v>2.13</v>
      </c>
      <c r="H21" s="273">
        <v>10.31</v>
      </c>
      <c r="I21" s="274">
        <v>100</v>
      </c>
      <c r="J21" s="343">
        <v>5.26</v>
      </c>
      <c r="L21" s="246"/>
    </row>
    <row r="22" spans="1:12" x14ac:dyDescent="0.2">
      <c r="B22" s="275" t="s">
        <v>288</v>
      </c>
      <c r="C22" s="275"/>
      <c r="D22" s="275"/>
      <c r="E22" s="275"/>
      <c r="F22" s="275"/>
      <c r="G22" s="275"/>
    </row>
    <row r="23" spans="1:12" ht="12.75" customHeight="1" x14ac:dyDescent="0.2">
      <c r="B23" s="275" t="s">
        <v>272</v>
      </c>
      <c r="C23" s="275"/>
      <c r="D23" s="275"/>
      <c r="E23" s="275"/>
      <c r="F23" s="275"/>
      <c r="G23" s="275"/>
    </row>
    <row r="24" spans="1:12" x14ac:dyDescent="0.2">
      <c r="B24" s="275" t="s">
        <v>102</v>
      </c>
      <c r="C24" s="275"/>
      <c r="D24" s="275"/>
      <c r="E24" s="275"/>
      <c r="F24" s="275"/>
      <c r="G24" s="275"/>
    </row>
    <row r="25" spans="1:12" ht="12.75" customHeight="1" x14ac:dyDescent="0.2">
      <c r="B25" s="275" t="s">
        <v>273</v>
      </c>
      <c r="C25" s="275"/>
      <c r="D25" s="275"/>
      <c r="E25" s="275"/>
      <c r="F25" s="275"/>
      <c r="G25" s="275"/>
    </row>
    <row r="26" spans="1:12" x14ac:dyDescent="0.2">
      <c r="B26" s="276" t="s">
        <v>217</v>
      </c>
      <c r="C26" s="277"/>
      <c r="D26" s="277"/>
      <c r="E26" s="277"/>
      <c r="F26" s="277"/>
      <c r="G26" s="277"/>
      <c r="H26" s="277"/>
      <c r="I26" s="277"/>
      <c r="J26" s="277"/>
      <c r="K26" s="277"/>
      <c r="L26" s="277"/>
    </row>
    <row r="27" spans="1:12" ht="24" customHeight="1" x14ac:dyDescent="0.2">
      <c r="B27" s="407" t="s">
        <v>285</v>
      </c>
      <c r="C27" s="407"/>
      <c r="D27" s="407"/>
      <c r="E27" s="407"/>
      <c r="F27" s="407"/>
      <c r="G27" s="407"/>
      <c r="H27" s="407"/>
      <c r="I27" s="407"/>
      <c r="J27" s="407"/>
      <c r="K27" s="407"/>
      <c r="L27" s="407"/>
    </row>
    <row r="30" spans="1:12" ht="12.75" customHeight="1" x14ac:dyDescent="0.2"/>
    <row r="66" spans="2:12" x14ac:dyDescent="0.2">
      <c r="B66" s="275" t="s">
        <v>286</v>
      </c>
      <c r="C66" s="275"/>
      <c r="D66" s="275"/>
      <c r="E66" s="275"/>
      <c r="F66" s="275"/>
      <c r="G66" s="275"/>
    </row>
    <row r="67" spans="2:12" x14ac:dyDescent="0.2">
      <c r="B67" s="275" t="s">
        <v>272</v>
      </c>
      <c r="C67" s="275"/>
      <c r="D67" s="275"/>
      <c r="E67" s="275"/>
      <c r="F67" s="275"/>
      <c r="G67" s="275"/>
    </row>
    <row r="68" spans="2:12" x14ac:dyDescent="0.2">
      <c r="B68" s="275" t="s">
        <v>102</v>
      </c>
      <c r="C68" s="275"/>
      <c r="D68" s="275"/>
      <c r="E68" s="275"/>
      <c r="F68" s="275"/>
      <c r="G68" s="275"/>
    </row>
    <row r="69" spans="2:12" x14ac:dyDescent="0.2">
      <c r="B69" s="275" t="s">
        <v>273</v>
      </c>
      <c r="C69" s="275"/>
      <c r="D69" s="275"/>
      <c r="E69" s="275"/>
      <c r="F69" s="275"/>
      <c r="G69" s="275"/>
    </row>
    <row r="70" spans="2:12" x14ac:dyDescent="0.2">
      <c r="B70" s="276" t="s">
        <v>217</v>
      </c>
      <c r="C70" s="277"/>
      <c r="D70" s="277"/>
      <c r="E70" s="277"/>
      <c r="F70" s="277"/>
      <c r="G70" s="277"/>
      <c r="H70" s="277"/>
      <c r="I70" s="277"/>
      <c r="J70" s="277"/>
      <c r="K70" s="277"/>
      <c r="L70" s="277"/>
    </row>
    <row r="71" spans="2:12" ht="24" customHeight="1" x14ac:dyDescent="0.2">
      <c r="B71" s="407" t="s">
        <v>274</v>
      </c>
      <c r="C71" s="407"/>
      <c r="D71" s="407"/>
      <c r="E71" s="407"/>
      <c r="F71" s="407"/>
      <c r="G71" s="407"/>
      <c r="H71" s="407"/>
      <c r="I71" s="407"/>
      <c r="J71" s="407"/>
      <c r="K71" s="407"/>
      <c r="L71" s="407"/>
    </row>
  </sheetData>
  <mergeCells count="3">
    <mergeCell ref="A9:A17"/>
    <mergeCell ref="B71:L71"/>
    <mergeCell ref="B27:L27"/>
  </mergeCells>
  <hyperlinks>
    <hyperlink ref="A2" location="Sommaire!A2" display="Retour au sommaire"/>
  </hyperlinks>
  <pageMargins left="0.78740157499999996" right="0.78740157499999996" top="0.984251969" bottom="0.984251969" header="0.4921259845" footer="0.4921259845"/>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50"/>
  <sheetViews>
    <sheetView showGridLines="0" zoomScale="90" zoomScaleNormal="90" workbookViewId="0"/>
  </sheetViews>
  <sheetFormatPr baseColWidth="10" defaultRowHeight="12.75" x14ac:dyDescent="0.2"/>
  <cols>
    <col min="1" max="1" width="11.28515625" style="171" customWidth="1"/>
    <col min="2" max="2" width="14.28515625" style="171" bestFit="1" customWidth="1"/>
    <col min="3" max="3" width="13.5703125" style="171" customWidth="1"/>
    <col min="4" max="4" width="14" style="171" customWidth="1"/>
    <col min="5" max="16384" width="11.42578125" style="171"/>
  </cols>
  <sheetData>
    <row r="1" spans="1:19" ht="19.5" customHeight="1" x14ac:dyDescent="0.2">
      <c r="A1" s="13" t="s">
        <v>310</v>
      </c>
    </row>
    <row r="2" spans="1:19" ht="19.5" customHeight="1" x14ac:dyDescent="0.2">
      <c r="A2" s="388" t="s">
        <v>346</v>
      </c>
    </row>
    <row r="3" spans="1:19" ht="37.5" customHeight="1" x14ac:dyDescent="0.2">
      <c r="A3" s="106" t="s">
        <v>77</v>
      </c>
      <c r="B3" s="106" t="s">
        <v>180</v>
      </c>
      <c r="C3" s="106" t="s">
        <v>178</v>
      </c>
      <c r="D3" s="106" t="s">
        <v>275</v>
      </c>
      <c r="E3" s="106" t="s">
        <v>181</v>
      </c>
      <c r="F3" s="106" t="s">
        <v>179</v>
      </c>
      <c r="G3" s="106" t="s">
        <v>275</v>
      </c>
      <c r="M3" s="279"/>
      <c r="N3" s="279"/>
      <c r="O3" s="279"/>
      <c r="P3" s="279"/>
      <c r="Q3" s="279"/>
      <c r="R3" s="279"/>
      <c r="S3" s="279"/>
    </row>
    <row r="4" spans="1:19" s="279" customFormat="1" ht="19.5" customHeight="1" x14ac:dyDescent="0.2">
      <c r="A4" s="220" t="s">
        <v>73</v>
      </c>
      <c r="B4" s="105">
        <f>D4-C4</f>
        <v>2128604</v>
      </c>
      <c r="C4" s="105">
        <v>231200</v>
      </c>
      <c r="D4" s="105">
        <v>2359804</v>
      </c>
      <c r="E4" s="278">
        <v>100</v>
      </c>
      <c r="F4" s="278">
        <v>100</v>
      </c>
      <c r="G4" s="278">
        <v>100</v>
      </c>
    </row>
    <row r="5" spans="1:19" s="279" customFormat="1" ht="19.5" customHeight="1" x14ac:dyDescent="0.2">
      <c r="A5" s="220" t="s">
        <v>72</v>
      </c>
      <c r="B5" s="105">
        <f t="shared" ref="B5:B9" si="0">D5-C5</f>
        <v>2176865</v>
      </c>
      <c r="C5" s="105">
        <v>235100</v>
      </c>
      <c r="D5" s="105">
        <v>2411965</v>
      </c>
      <c r="E5" s="278">
        <f>B5*E4/B4</f>
        <v>102.26726060836116</v>
      </c>
      <c r="F5" s="278">
        <f t="shared" ref="F5:G11" si="1">C5*F4/C4</f>
        <v>101.68685121107266</v>
      </c>
      <c r="G5" s="278">
        <f t="shared" si="1"/>
        <v>102.21039543962125</v>
      </c>
      <c r="M5" s="171"/>
      <c r="N5" s="171"/>
      <c r="O5" s="171"/>
      <c r="P5" s="171"/>
      <c r="Q5" s="171"/>
      <c r="R5" s="171"/>
      <c r="S5" s="171"/>
    </row>
    <row r="6" spans="1:19" s="279" customFormat="1" ht="19.5" customHeight="1" x14ac:dyDescent="0.2">
      <c r="A6" s="220" t="s">
        <v>71</v>
      </c>
      <c r="B6" s="105">
        <f t="shared" si="0"/>
        <v>2210983</v>
      </c>
      <c r="C6" s="105">
        <v>238200</v>
      </c>
      <c r="D6" s="105">
        <v>2449183</v>
      </c>
      <c r="E6" s="278">
        <f t="shared" ref="E6:E11" si="2">B6*E5/B5</f>
        <v>103.87009514216828</v>
      </c>
      <c r="F6" s="278">
        <f t="shared" si="1"/>
        <v>103.02768166089965</v>
      </c>
      <c r="G6" s="278">
        <f t="shared" si="1"/>
        <v>103.78756032280647</v>
      </c>
      <c r="I6" s="280"/>
      <c r="J6" s="280"/>
      <c r="M6" s="171"/>
      <c r="N6" s="171"/>
      <c r="O6" s="171"/>
      <c r="P6" s="171"/>
      <c r="Q6" s="171"/>
      <c r="R6" s="171"/>
      <c r="S6" s="171"/>
    </row>
    <row r="7" spans="1:19" s="279" customFormat="1" ht="19.5" customHeight="1" x14ac:dyDescent="0.2">
      <c r="A7" s="220" t="s">
        <v>70</v>
      </c>
      <c r="B7" s="105">
        <f t="shared" si="0"/>
        <v>2265701</v>
      </c>
      <c r="C7" s="105">
        <v>244100</v>
      </c>
      <c r="D7" s="105">
        <v>2509801</v>
      </c>
      <c r="E7" s="278">
        <f t="shared" si="2"/>
        <v>106.44070010203869</v>
      </c>
      <c r="F7" s="278">
        <f t="shared" si="1"/>
        <v>105.57958477508649</v>
      </c>
      <c r="G7" s="278">
        <f t="shared" si="1"/>
        <v>106.35633298358677</v>
      </c>
      <c r="I7" s="280"/>
      <c r="J7" s="280"/>
    </row>
    <row r="8" spans="1:19" s="279" customFormat="1" ht="19.5" customHeight="1" x14ac:dyDescent="0.2">
      <c r="A8" s="220" t="s">
        <v>119</v>
      </c>
      <c r="B8" s="105">
        <f t="shared" si="0"/>
        <v>2299786</v>
      </c>
      <c r="C8" s="105">
        <v>254700</v>
      </c>
      <c r="D8" s="105">
        <v>2554486</v>
      </c>
      <c r="E8" s="278">
        <f t="shared" si="2"/>
        <v>108.04198432399825</v>
      </c>
      <c r="F8" s="278">
        <f t="shared" si="1"/>
        <v>110.16435986159168</v>
      </c>
      <c r="G8" s="278">
        <f t="shared" si="1"/>
        <v>108.24992245118662</v>
      </c>
      <c r="I8" s="280"/>
      <c r="J8" s="280"/>
    </row>
    <row r="9" spans="1:19" s="279" customFormat="1" ht="19.5" customHeight="1" x14ac:dyDescent="0.2">
      <c r="A9" s="220" t="s">
        <v>124</v>
      </c>
      <c r="B9" s="105">
        <f t="shared" si="0"/>
        <v>2351908</v>
      </c>
      <c r="C9" s="105">
        <v>270500</v>
      </c>
      <c r="D9" s="105">
        <v>2622408</v>
      </c>
      <c r="E9" s="278">
        <f t="shared" si="2"/>
        <v>110.49063141852592</v>
      </c>
      <c r="F9" s="278">
        <f t="shared" si="1"/>
        <v>116.99826989619375</v>
      </c>
      <c r="G9" s="278">
        <f t="shared" si="1"/>
        <v>111.12821234305899</v>
      </c>
      <c r="I9" s="280"/>
      <c r="J9" s="280"/>
    </row>
    <row r="10" spans="1:19" s="279" customFormat="1" ht="19.5" customHeight="1" x14ac:dyDescent="0.2">
      <c r="A10" s="220" t="s">
        <v>129</v>
      </c>
      <c r="B10" s="105">
        <v>2398258</v>
      </c>
      <c r="C10" s="105">
        <v>283700</v>
      </c>
      <c r="D10" s="105">
        <v>2681978</v>
      </c>
      <c r="E10" s="278">
        <f t="shared" si="2"/>
        <v>112.66811487716831</v>
      </c>
      <c r="F10" s="278">
        <f t="shared" si="1"/>
        <v>122.70761245674738</v>
      </c>
      <c r="G10" s="278">
        <f t="shared" si="1"/>
        <v>113.65257453585127</v>
      </c>
      <c r="I10" s="280"/>
      <c r="J10" s="280"/>
      <c r="O10" s="280"/>
    </row>
    <row r="11" spans="1:19" s="279" customFormat="1" ht="19.5" customHeight="1" x14ac:dyDescent="0.2">
      <c r="A11" s="220" t="s">
        <v>190</v>
      </c>
      <c r="B11" s="105">
        <v>2437306</v>
      </c>
      <c r="C11" s="105">
        <v>290470</v>
      </c>
      <c r="D11" s="105">
        <v>2727776</v>
      </c>
      <c r="E11" s="278">
        <f t="shared" si="2"/>
        <v>114.50255660517408</v>
      </c>
      <c r="F11" s="278">
        <f t="shared" si="1"/>
        <v>125.6358131487889</v>
      </c>
      <c r="G11" s="278">
        <f t="shared" si="1"/>
        <v>115.59332893748801</v>
      </c>
      <c r="I11" s="280"/>
      <c r="J11" s="280"/>
    </row>
    <row r="12" spans="1:19" s="279" customFormat="1" ht="19.5" customHeight="1" x14ac:dyDescent="0.2">
      <c r="A12" s="220" t="s">
        <v>231</v>
      </c>
      <c r="B12" s="105">
        <f>D12-C12</f>
        <v>2507736</v>
      </c>
      <c r="C12" s="105">
        <v>278278</v>
      </c>
      <c r="D12" s="105">
        <v>2786014</v>
      </c>
      <c r="E12" s="278">
        <f t="shared" ref="E12:G13" si="3">B12*E10/B10</f>
        <v>117.81129792107879</v>
      </c>
      <c r="F12" s="278">
        <f t="shared" si="3"/>
        <v>120.36245674740482</v>
      </c>
      <c r="G12" s="278">
        <f t="shared" si="3"/>
        <v>118.06124576447873</v>
      </c>
      <c r="H12" s="355"/>
      <c r="I12" s="280"/>
      <c r="J12" s="280"/>
    </row>
    <row r="13" spans="1:19" ht="19.5" customHeight="1" x14ac:dyDescent="0.2">
      <c r="A13" s="220" t="s">
        <v>260</v>
      </c>
      <c r="B13" s="105">
        <f>D13-C13</f>
        <v>2509249</v>
      </c>
      <c r="C13" s="105">
        <v>302863</v>
      </c>
      <c r="D13" s="105">
        <v>2812112</v>
      </c>
      <c r="E13" s="278">
        <f t="shared" si="3"/>
        <v>117.88237737033283</v>
      </c>
      <c r="F13" s="278">
        <f t="shared" si="3"/>
        <v>130.99610726643596</v>
      </c>
      <c r="G13" s="278">
        <f t="shared" si="3"/>
        <v>119.16718507130251</v>
      </c>
      <c r="H13" s="279"/>
      <c r="I13" s="280"/>
      <c r="J13" s="280"/>
    </row>
    <row r="14" spans="1:19" ht="12.75" customHeight="1" x14ac:dyDescent="0.2">
      <c r="A14" s="354" t="s">
        <v>287</v>
      </c>
    </row>
    <row r="15" spans="1:19" ht="12.75" customHeight="1" x14ac:dyDescent="0.2">
      <c r="A15" s="354" t="s">
        <v>276</v>
      </c>
    </row>
    <row r="16" spans="1:19" x14ac:dyDescent="0.2">
      <c r="A16" s="418" t="s">
        <v>219</v>
      </c>
      <c r="B16" s="418"/>
      <c r="C16" s="418"/>
      <c r="D16" s="418"/>
      <c r="E16" s="418"/>
      <c r="F16" s="418"/>
      <c r="G16" s="418"/>
      <c r="H16" s="418"/>
      <c r="I16" s="418"/>
      <c r="J16" s="418"/>
    </row>
    <row r="17" spans="1:14" x14ac:dyDescent="0.2">
      <c r="A17" s="418" t="s">
        <v>274</v>
      </c>
      <c r="B17" s="418"/>
      <c r="C17" s="418"/>
      <c r="D17" s="418"/>
      <c r="E17" s="418"/>
      <c r="F17" s="418"/>
      <c r="G17" s="418"/>
      <c r="H17" s="418"/>
      <c r="I17" s="418"/>
      <c r="J17" s="418"/>
    </row>
    <row r="18" spans="1:14" x14ac:dyDescent="0.2">
      <c r="K18" s="282"/>
      <c r="N18" s="283"/>
    </row>
    <row r="19" spans="1:14" ht="15.75" x14ac:dyDescent="0.2">
      <c r="A19" s="13" t="s">
        <v>310</v>
      </c>
    </row>
    <row r="22" spans="1:14" x14ac:dyDescent="0.2">
      <c r="A22" s="284"/>
    </row>
    <row r="23" spans="1:14" x14ac:dyDescent="0.2">
      <c r="A23" s="284"/>
    </row>
    <row r="35" s="285" customFormat="1" ht="22.7" customHeight="1" x14ac:dyDescent="0.2"/>
    <row r="36" s="285" customFormat="1" ht="13.7" customHeight="1" x14ac:dyDescent="0.2"/>
    <row r="41" s="279" customFormat="1" x14ac:dyDescent="0.2"/>
    <row r="42" s="279" customFormat="1" ht="18" customHeight="1" x14ac:dyDescent="0.2"/>
    <row r="49" spans="2:12" x14ac:dyDescent="0.2">
      <c r="B49" s="417" t="s">
        <v>218</v>
      </c>
      <c r="C49" s="417"/>
      <c r="D49" s="417"/>
      <c r="E49" s="417"/>
      <c r="F49" s="417"/>
      <c r="G49" s="417"/>
      <c r="H49" s="417"/>
      <c r="I49" s="417"/>
      <c r="J49" s="417"/>
      <c r="K49" s="417"/>
    </row>
    <row r="50" spans="2:12" ht="27" customHeight="1" x14ac:dyDescent="0.2">
      <c r="B50" s="417" t="s">
        <v>121</v>
      </c>
      <c r="C50" s="417"/>
      <c r="D50" s="417"/>
      <c r="E50" s="417"/>
      <c r="F50" s="417"/>
      <c r="G50" s="417"/>
      <c r="H50" s="417"/>
      <c r="I50" s="417"/>
      <c r="J50" s="417"/>
      <c r="K50" s="417"/>
      <c r="L50" s="147"/>
    </row>
  </sheetData>
  <mergeCells count="4">
    <mergeCell ref="B50:K50"/>
    <mergeCell ref="B49:K49"/>
    <mergeCell ref="A16:J16"/>
    <mergeCell ref="A17:J17"/>
  </mergeCells>
  <hyperlinks>
    <hyperlink ref="A2" location="Sommaire!A2" display="Retour au sommaire"/>
  </hyperlinks>
  <pageMargins left="0.78740157499999996" right="0.78740157499999996" top="0.984251969" bottom="0.984251969" header="0.4921259845" footer="0.492125984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showGridLines="0" zoomScale="85" workbookViewId="0"/>
  </sheetViews>
  <sheetFormatPr baseColWidth="10" defaultRowHeight="12.75" x14ac:dyDescent="0.2"/>
  <cols>
    <col min="1" max="1" width="46.28515625" style="7" customWidth="1"/>
    <col min="2" max="7" width="8.5703125" style="7" customWidth="1"/>
    <col min="8" max="9" width="11.42578125" style="7"/>
    <col min="10" max="10" width="14.85546875" style="7" customWidth="1"/>
    <col min="11" max="12" width="13.140625" style="7" bestFit="1" customWidth="1"/>
    <col min="13" max="13" width="15.42578125" style="7" customWidth="1"/>
    <col min="14" max="16384" width="11.42578125" style="7"/>
  </cols>
  <sheetData>
    <row r="1" spans="1:13" s="9" customFormat="1" ht="17.45" customHeight="1" x14ac:dyDescent="0.2">
      <c r="A1" s="13" t="s">
        <v>311</v>
      </c>
      <c r="B1" s="173"/>
      <c r="C1" s="173"/>
      <c r="D1" s="173"/>
      <c r="E1" s="173"/>
      <c r="F1" s="173"/>
      <c r="G1" s="173"/>
      <c r="H1" s="173"/>
      <c r="I1" s="173"/>
      <c r="J1" s="173"/>
    </row>
    <row r="2" spans="1:13" s="9" customFormat="1" ht="17.45" customHeight="1" x14ac:dyDescent="0.2">
      <c r="A2" s="388" t="s">
        <v>346</v>
      </c>
      <c r="B2" s="173"/>
      <c r="C2" s="173"/>
      <c r="D2" s="173"/>
      <c r="E2" s="173"/>
      <c r="F2" s="173"/>
      <c r="G2" s="173"/>
      <c r="H2" s="173"/>
      <c r="I2" s="173"/>
      <c r="J2" s="173"/>
    </row>
    <row r="3" spans="1:13" s="18" customFormat="1" ht="17.45" customHeight="1" x14ac:dyDescent="0.2">
      <c r="A3" s="344"/>
      <c r="B3" s="344" t="s">
        <v>67</v>
      </c>
      <c r="C3" s="344" t="s">
        <v>68</v>
      </c>
      <c r="D3" s="344" t="s">
        <v>83</v>
      </c>
      <c r="E3" s="344" t="s">
        <v>120</v>
      </c>
      <c r="F3" s="344" t="s">
        <v>153</v>
      </c>
      <c r="G3" s="344" t="s">
        <v>154</v>
      </c>
      <c r="H3" s="344" t="s">
        <v>190</v>
      </c>
      <c r="I3" s="344" t="s">
        <v>231</v>
      </c>
      <c r="J3" s="344" t="s">
        <v>260</v>
      </c>
    </row>
    <row r="4" spans="1:13" s="18" customFormat="1" ht="17.45" customHeight="1" x14ac:dyDescent="0.25">
      <c r="A4" s="88" t="s">
        <v>82</v>
      </c>
      <c r="B4" s="103">
        <v>0.129</v>
      </c>
      <c r="C4" s="103">
        <v>0.126</v>
      </c>
      <c r="D4" s="103">
        <v>0.125</v>
      </c>
      <c r="E4" s="103">
        <v>0.123</v>
      </c>
      <c r="F4" s="103">
        <v>0.13</v>
      </c>
      <c r="G4" s="103">
        <v>0.13300000000000001</v>
      </c>
      <c r="H4" s="103">
        <v>0.13100000000000001</v>
      </c>
      <c r="I4" s="103">
        <v>0.12189999999999999</v>
      </c>
      <c r="J4" s="103">
        <v>0.129222123573315</v>
      </c>
      <c r="K4" s="181"/>
      <c r="L4" s="182"/>
      <c r="M4" s="181"/>
    </row>
    <row r="5" spans="1:13" s="18" customFormat="1" ht="17.45" customHeight="1" x14ac:dyDescent="0.25">
      <c r="A5" s="104" t="s">
        <v>268</v>
      </c>
      <c r="B5" s="103">
        <v>3.9E-2</v>
      </c>
      <c r="C5" s="103">
        <v>3.7999999999999999E-2</v>
      </c>
      <c r="D5" s="103">
        <v>3.6999999999999998E-2</v>
      </c>
      <c r="E5" s="103">
        <v>3.5999999999999997E-2</v>
      </c>
      <c r="F5" s="103">
        <v>3.4000000000000002E-2</v>
      </c>
      <c r="G5" s="103">
        <v>3.1E-2</v>
      </c>
      <c r="H5" s="103">
        <v>3.1E-2</v>
      </c>
      <c r="I5" s="103">
        <v>2.64E-2</v>
      </c>
      <c r="J5" s="103">
        <v>2.6126408010012515E-2</v>
      </c>
      <c r="K5" s="19"/>
      <c r="L5" s="19"/>
      <c r="M5" s="19"/>
    </row>
    <row r="6" spans="1:13" s="18" customFormat="1" ht="17.45" customHeight="1" x14ac:dyDescent="0.25">
      <c r="A6" s="88" t="s">
        <v>81</v>
      </c>
      <c r="B6" s="103">
        <v>0.107</v>
      </c>
      <c r="C6" s="103">
        <v>0.106</v>
      </c>
      <c r="D6" s="103">
        <v>0.107</v>
      </c>
      <c r="E6" s="103">
        <v>0.111</v>
      </c>
      <c r="F6" s="103">
        <v>0.104</v>
      </c>
      <c r="G6" s="103">
        <v>0.108</v>
      </c>
      <c r="H6" s="103">
        <v>0.112</v>
      </c>
      <c r="I6" s="103">
        <v>0.109</v>
      </c>
      <c r="J6" s="103">
        <v>0.10874939615242533</v>
      </c>
      <c r="K6" s="19"/>
      <c r="L6" s="19"/>
      <c r="M6" s="19"/>
    </row>
    <row r="7" spans="1:13" s="18" customFormat="1" ht="17.45" customHeight="1" x14ac:dyDescent="0.25">
      <c r="A7" s="88" t="s">
        <v>277</v>
      </c>
      <c r="B7" s="103">
        <v>6.0000000000000001E-3</v>
      </c>
      <c r="C7" s="103">
        <v>7.0000000000000001E-3</v>
      </c>
      <c r="D7" s="103">
        <v>8.0000000000000002E-3</v>
      </c>
      <c r="E7" s="103">
        <v>8.0000000000000002E-3</v>
      </c>
      <c r="F7" s="103">
        <v>8.9999999999999993E-3</v>
      </c>
      <c r="G7" s="103">
        <v>0.01</v>
      </c>
      <c r="H7" s="103">
        <v>8.9999999999999993E-3</v>
      </c>
      <c r="I7" s="103">
        <v>1.128E-2</v>
      </c>
      <c r="J7" s="103">
        <v>1.6412474807102905E-2</v>
      </c>
      <c r="K7" s="7"/>
      <c r="L7" s="7"/>
      <c r="M7" s="7"/>
    </row>
    <row r="8" spans="1:13" s="18" customFormat="1" ht="17.45" customHeight="1" x14ac:dyDescent="0.25">
      <c r="A8" s="88" t="s">
        <v>55</v>
      </c>
      <c r="B8" s="103">
        <v>0.123</v>
      </c>
      <c r="C8" s="103">
        <v>0.129</v>
      </c>
      <c r="D8" s="103">
        <v>0.128</v>
      </c>
      <c r="E8" s="103">
        <v>0.14000000000000001</v>
      </c>
      <c r="F8" s="103">
        <v>0.14799999999999999</v>
      </c>
      <c r="G8" s="103">
        <v>0.16500000000000001</v>
      </c>
      <c r="H8" s="103">
        <v>0.17399999999999999</v>
      </c>
      <c r="I8" s="103">
        <v>0.1646</v>
      </c>
      <c r="J8" s="103">
        <v>0.18702340829451466</v>
      </c>
      <c r="K8" s="7"/>
      <c r="L8" s="7"/>
      <c r="M8" s="7"/>
    </row>
    <row r="9" spans="1:13" s="18" customFormat="1" ht="17.45" customHeight="1" x14ac:dyDescent="0.2">
      <c r="A9" s="345" t="s">
        <v>278</v>
      </c>
      <c r="B9" s="346">
        <v>9.7000000000000003E-2</v>
      </c>
      <c r="C9" s="346">
        <v>9.7000000000000003E-2</v>
      </c>
      <c r="D9" s="346">
        <v>9.7000000000000003E-2</v>
      </c>
      <c r="E9" s="346">
        <v>0.1</v>
      </c>
      <c r="F9" s="346">
        <v>0.10299999999999999</v>
      </c>
      <c r="G9" s="346">
        <v>0.106</v>
      </c>
      <c r="H9" s="346">
        <v>0.107</v>
      </c>
      <c r="I9" s="346">
        <v>9.9919999999999995E-2</v>
      </c>
      <c r="J9" s="346">
        <v>0.10769951552427499</v>
      </c>
      <c r="K9" s="7"/>
      <c r="L9" s="7"/>
      <c r="M9" s="7"/>
    </row>
    <row r="10" spans="1:13" s="19" customFormat="1" ht="17.45" customHeight="1" x14ac:dyDescent="0.2">
      <c r="A10" s="347" t="s">
        <v>80</v>
      </c>
      <c r="B10" s="348"/>
      <c r="C10" s="348"/>
      <c r="D10" s="348"/>
      <c r="E10" s="348"/>
      <c r="F10" s="348"/>
      <c r="G10" s="348"/>
      <c r="H10" s="348"/>
      <c r="I10" s="348"/>
      <c r="K10" s="7"/>
      <c r="L10" s="7"/>
      <c r="M10" s="7"/>
    </row>
    <row r="11" spans="1:13" s="19" customFormat="1" ht="17.45" customHeight="1" x14ac:dyDescent="0.2">
      <c r="A11" s="347" t="s">
        <v>79</v>
      </c>
      <c r="B11" s="348"/>
      <c r="C11" s="348"/>
      <c r="D11" s="348"/>
      <c r="E11" s="348"/>
      <c r="F11" s="331"/>
      <c r="G11" s="331"/>
      <c r="H11" s="348"/>
      <c r="I11" s="348"/>
      <c r="K11" s="7"/>
      <c r="L11" s="7"/>
      <c r="M11" s="7"/>
    </row>
    <row r="12" spans="1:13" s="19" customFormat="1" ht="17.45" customHeight="1" x14ac:dyDescent="0.2">
      <c r="A12" s="347" t="s">
        <v>279</v>
      </c>
      <c r="B12" s="348"/>
      <c r="C12" s="348"/>
      <c r="D12" s="348"/>
      <c r="E12" s="348"/>
      <c r="F12" s="331"/>
      <c r="G12" s="331"/>
      <c r="H12" s="348"/>
      <c r="I12" s="348"/>
      <c r="K12" s="7"/>
      <c r="L12" s="7"/>
      <c r="M12" s="7"/>
    </row>
    <row r="13" spans="1:13" s="19" customFormat="1" ht="28.5" customHeight="1" x14ac:dyDescent="0.2">
      <c r="A13" s="347" t="s">
        <v>218</v>
      </c>
      <c r="B13" s="347"/>
      <c r="C13" s="347"/>
      <c r="D13" s="347"/>
      <c r="E13" s="347"/>
      <c r="F13" s="347"/>
      <c r="G13" s="347"/>
      <c r="H13" s="347"/>
      <c r="I13" s="347"/>
      <c r="K13" s="7"/>
      <c r="L13" s="7"/>
      <c r="M13" s="7"/>
    </row>
    <row r="14" spans="1:13" x14ac:dyDescent="0.2">
      <c r="A14" s="419" t="s">
        <v>280</v>
      </c>
      <c r="B14" s="419"/>
      <c r="C14" s="419"/>
      <c r="D14" s="419"/>
      <c r="E14" s="419"/>
      <c r="F14" s="419"/>
      <c r="G14" s="419"/>
      <c r="H14" s="419"/>
      <c r="I14" s="419"/>
    </row>
    <row r="15" spans="1:13" ht="15.75" x14ac:dyDescent="0.2">
      <c r="A15" s="13" t="s">
        <v>345</v>
      </c>
    </row>
    <row r="16" spans="1:13" x14ac:dyDescent="0.2">
      <c r="F16" s="8"/>
    </row>
    <row r="36" spans="1:13" x14ac:dyDescent="0.2">
      <c r="A36" s="12"/>
    </row>
    <row r="37" spans="1:13" x14ac:dyDescent="0.2">
      <c r="A37" s="12"/>
    </row>
    <row r="40" spans="1:13" x14ac:dyDescent="0.2">
      <c r="M40" s="178"/>
    </row>
    <row r="47" spans="1:13" x14ac:dyDescent="0.2">
      <c r="A47" s="10"/>
    </row>
    <row r="50" spans="1:9" ht="12.75" customHeight="1" x14ac:dyDescent="0.2">
      <c r="A50" s="419" t="s">
        <v>187</v>
      </c>
      <c r="B50" s="419"/>
      <c r="C50" s="419"/>
      <c r="D50" s="419"/>
      <c r="E50" s="419"/>
      <c r="F50" s="419"/>
      <c r="G50" s="419"/>
      <c r="H50" s="419"/>
      <c r="I50" s="419"/>
    </row>
    <row r="51" spans="1:9" ht="24" customHeight="1" x14ac:dyDescent="0.2">
      <c r="A51" s="419" t="s">
        <v>274</v>
      </c>
      <c r="B51" s="419"/>
      <c r="C51" s="419"/>
      <c r="D51" s="419"/>
      <c r="E51" s="419"/>
      <c r="F51" s="419"/>
      <c r="G51" s="419"/>
      <c r="H51" s="419"/>
      <c r="I51" s="419"/>
    </row>
  </sheetData>
  <mergeCells count="3">
    <mergeCell ref="A51:I51"/>
    <mergeCell ref="A50:I50"/>
    <mergeCell ref="A14:I14"/>
  </mergeCells>
  <hyperlinks>
    <hyperlink ref="A2"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47"/>
  <sheetViews>
    <sheetView showGridLines="0" zoomScaleNormal="100" zoomScaleSheetLayoutView="85" workbookViewId="0"/>
  </sheetViews>
  <sheetFormatPr baseColWidth="10" defaultRowHeight="12.75" x14ac:dyDescent="0.2"/>
  <cols>
    <col min="1" max="1" width="36.7109375" style="1" customWidth="1"/>
    <col min="2" max="14" width="9.85546875" style="2" customWidth="1"/>
    <col min="15" max="15" width="14.42578125" style="2" customWidth="1"/>
    <col min="16" max="16" width="11.42578125" style="2" customWidth="1"/>
    <col min="17" max="17" width="11.85546875" style="1" bestFit="1" customWidth="1"/>
    <col min="18" max="16384" width="11.42578125" style="1"/>
  </cols>
  <sheetData>
    <row r="1" spans="1:20" ht="15" x14ac:dyDescent="0.25">
      <c r="A1" s="183" t="s">
        <v>313</v>
      </c>
      <c r="B1" s="3"/>
      <c r="C1" s="3"/>
      <c r="D1" s="3"/>
      <c r="E1" s="3"/>
      <c r="F1" s="3"/>
      <c r="G1" s="3"/>
      <c r="H1" s="3"/>
      <c r="I1" s="3"/>
      <c r="J1" s="3"/>
      <c r="K1" s="3"/>
      <c r="L1" s="3"/>
      <c r="M1" s="3"/>
      <c r="N1" s="3"/>
      <c r="O1" s="3"/>
      <c r="P1" s="3"/>
    </row>
    <row r="2" spans="1:20" x14ac:dyDescent="0.2">
      <c r="A2" s="184" t="s">
        <v>215</v>
      </c>
      <c r="B2" s="3"/>
      <c r="C2" s="3"/>
      <c r="D2" s="3"/>
      <c r="E2" s="3"/>
      <c r="F2" s="3"/>
      <c r="G2" s="3"/>
      <c r="H2" s="3"/>
      <c r="I2" s="3"/>
      <c r="J2" s="3"/>
      <c r="K2" s="3"/>
      <c r="L2" s="3"/>
      <c r="M2" s="3"/>
      <c r="N2" s="3"/>
      <c r="O2" s="3"/>
      <c r="P2" s="3"/>
    </row>
    <row r="3" spans="1:20" x14ac:dyDescent="0.2">
      <c r="A3" s="388" t="s">
        <v>346</v>
      </c>
      <c r="B3" s="3"/>
      <c r="C3" s="3"/>
      <c r="D3" s="3"/>
      <c r="E3" s="3"/>
      <c r="F3" s="3"/>
      <c r="G3" s="3"/>
      <c r="H3" s="3"/>
      <c r="I3" s="3"/>
      <c r="J3" s="3"/>
      <c r="K3" s="3"/>
      <c r="L3" s="3"/>
      <c r="M3" s="3"/>
      <c r="N3" s="3"/>
      <c r="O3" s="3"/>
      <c r="P3" s="3"/>
    </row>
    <row r="4" spans="1:20" ht="26.25" customHeight="1" x14ac:dyDescent="0.2">
      <c r="A4" s="426" t="s">
        <v>42</v>
      </c>
      <c r="B4" s="420">
        <v>1980</v>
      </c>
      <c r="C4" s="420">
        <v>1990</v>
      </c>
      <c r="D4" s="420">
        <v>2000</v>
      </c>
      <c r="E4" s="420">
        <v>2005</v>
      </c>
      <c r="F4" s="420">
        <v>2010</v>
      </c>
      <c r="G4" s="420">
        <v>2011</v>
      </c>
      <c r="H4" s="422">
        <v>2015</v>
      </c>
      <c r="I4" s="424" t="s">
        <v>182</v>
      </c>
      <c r="J4" s="420">
        <v>2017</v>
      </c>
      <c r="K4" s="420">
        <v>2018</v>
      </c>
      <c r="L4" s="420">
        <v>2019</v>
      </c>
      <c r="M4" s="420">
        <v>2020</v>
      </c>
      <c r="N4" s="420">
        <v>2021</v>
      </c>
      <c r="O4" s="428" t="s">
        <v>127</v>
      </c>
      <c r="P4" s="420" t="s">
        <v>290</v>
      </c>
    </row>
    <row r="5" spans="1:20" ht="14.25" customHeight="1" x14ac:dyDescent="0.2">
      <c r="A5" s="427"/>
      <c r="B5" s="421"/>
      <c r="C5" s="421"/>
      <c r="D5" s="421"/>
      <c r="E5" s="421"/>
      <c r="F5" s="421"/>
      <c r="G5" s="421"/>
      <c r="H5" s="423"/>
      <c r="I5" s="425"/>
      <c r="J5" s="421"/>
      <c r="K5" s="421"/>
      <c r="L5" s="421"/>
      <c r="M5" s="421"/>
      <c r="N5" s="421"/>
      <c r="O5" s="429"/>
      <c r="P5" s="421"/>
    </row>
    <row r="6" spans="1:20" x14ac:dyDescent="0.2">
      <c r="A6" s="222" t="s">
        <v>3</v>
      </c>
      <c r="B6" s="232">
        <v>858.1</v>
      </c>
      <c r="C6" s="232">
        <v>1159.9369999999999</v>
      </c>
      <c r="D6" s="232">
        <v>1396.76</v>
      </c>
      <c r="E6" s="232">
        <v>1421.7190000000001</v>
      </c>
      <c r="F6" s="232">
        <v>1420.56</v>
      </c>
      <c r="G6" s="232">
        <v>1429.7380000000001</v>
      </c>
      <c r="H6" s="313">
        <f>(1407592+28470+116183)/1000</f>
        <v>1552.2449999999999</v>
      </c>
      <c r="I6" s="232">
        <f>(1422605+29698+116551)/1000</f>
        <v>1568.854</v>
      </c>
      <c r="J6" s="232">
        <f>(1438213+29857+116751)/1000</f>
        <v>1584.8209999999999</v>
      </c>
      <c r="K6" s="232">
        <f>(1464229+30993+119661)/1000</f>
        <v>1614.883</v>
      </c>
      <c r="L6" s="232">
        <f>(1483025+31774+120551)/1000</f>
        <v>1635.35</v>
      </c>
      <c r="M6" s="232">
        <f>(1497891+31157+120930)/1000</f>
        <v>1649.9780000000001</v>
      </c>
      <c r="N6" s="232">
        <f>(1510407+31451+115056)/1000</f>
        <v>1656.914</v>
      </c>
      <c r="O6" s="314">
        <f>100*(N6-M6)/M6</f>
        <v>0.42036924128684877</v>
      </c>
      <c r="P6" s="232">
        <f>(1543755+54133+115056)/1000</f>
        <v>1712.944</v>
      </c>
      <c r="Q6" s="21"/>
    </row>
    <row r="7" spans="1:20" x14ac:dyDescent="0.2">
      <c r="A7" s="122" t="s">
        <v>267</v>
      </c>
      <c r="B7" s="123">
        <v>53.7</v>
      </c>
      <c r="C7" s="123">
        <v>74.328000000000003</v>
      </c>
      <c r="D7" s="123">
        <v>116.889</v>
      </c>
      <c r="E7" s="123">
        <v>112.59699999999999</v>
      </c>
      <c r="G7" s="123">
        <v>115.014</v>
      </c>
      <c r="H7" s="124">
        <v>116.18300000000001</v>
      </c>
      <c r="I7" s="123">
        <v>116.551</v>
      </c>
      <c r="J7" s="123">
        <v>116.751</v>
      </c>
      <c r="K7" s="123">
        <f>119661/1000</f>
        <v>119.661</v>
      </c>
      <c r="L7" s="123">
        <f>120551/1000</f>
        <v>120.551</v>
      </c>
      <c r="M7" s="123">
        <f>120930/1000</f>
        <v>120.93</v>
      </c>
      <c r="N7" s="123">
        <f>115056/1000</f>
        <v>115.056</v>
      </c>
      <c r="O7" s="314">
        <f>100*(N7-M7)/M7</f>
        <v>-4.8573554949144215</v>
      </c>
      <c r="P7" s="123">
        <f>115056/1000</f>
        <v>115.056</v>
      </c>
    </row>
    <row r="8" spans="1:20" x14ac:dyDescent="0.2">
      <c r="A8" s="122" t="s">
        <v>86</v>
      </c>
      <c r="B8" s="123">
        <v>8.33</v>
      </c>
      <c r="C8" s="123">
        <v>10.545</v>
      </c>
      <c r="D8" s="123">
        <v>23.228000000000002</v>
      </c>
      <c r="E8" s="123">
        <v>25.606000000000002</v>
      </c>
      <c r="F8" s="123">
        <v>23.869</v>
      </c>
      <c r="G8" s="123">
        <v>24.7</v>
      </c>
      <c r="H8" s="124">
        <v>28.47</v>
      </c>
      <c r="I8" s="123">
        <v>29.698</v>
      </c>
      <c r="J8" s="123">
        <v>29.856999999999999</v>
      </c>
      <c r="K8" s="123">
        <f>30993/1000</f>
        <v>30.992999999999999</v>
      </c>
      <c r="L8" s="123">
        <f>31774/1000</f>
        <v>31.774000000000001</v>
      </c>
      <c r="M8" s="123">
        <f>31157/1000</f>
        <v>31.157</v>
      </c>
      <c r="N8" s="123">
        <f>31451/1000</f>
        <v>31.451000000000001</v>
      </c>
      <c r="O8" s="314">
        <f t="shared" ref="O8:O15" si="0">100*(N8-M8)/M8</f>
        <v>0.9436081779375437</v>
      </c>
      <c r="P8" s="123">
        <f>54133/1000</f>
        <v>54.133000000000003</v>
      </c>
    </row>
    <row r="9" spans="1:20" ht="24.75" customHeight="1" x14ac:dyDescent="0.2">
      <c r="A9" s="315" t="s">
        <v>289</v>
      </c>
      <c r="B9" s="232">
        <v>31.622</v>
      </c>
      <c r="C9" s="232">
        <v>47.107999999999997</v>
      </c>
      <c r="D9" s="232">
        <v>73.389999999999986</v>
      </c>
      <c r="E9" s="232">
        <v>82.450999999999993</v>
      </c>
      <c r="F9" s="232">
        <v>101.595</v>
      </c>
      <c r="G9" s="232">
        <v>105.71999999999998</v>
      </c>
      <c r="H9" s="313">
        <v>117.959</v>
      </c>
      <c r="I9" s="232">
        <v>122.77800000000001</v>
      </c>
      <c r="J9" s="232">
        <v>128.91</v>
      </c>
      <c r="K9" s="232">
        <f>133184/1000</f>
        <v>133.184</v>
      </c>
      <c r="L9" s="232">
        <f>135773/1000</f>
        <v>135.773</v>
      </c>
      <c r="M9" s="232">
        <f>140768/1000</f>
        <v>140.768</v>
      </c>
      <c r="N9" s="232">
        <f>144504/1000</f>
        <v>144.50399999999999</v>
      </c>
      <c r="O9" s="314">
        <f t="shared" si="0"/>
        <v>2.654012275517156</v>
      </c>
      <c r="P9" s="232">
        <f>121822/1000</f>
        <v>121.822</v>
      </c>
      <c r="Q9" s="353"/>
      <c r="R9" s="21"/>
      <c r="S9" s="21"/>
      <c r="T9" s="21"/>
    </row>
    <row r="10" spans="1:20" x14ac:dyDescent="0.2">
      <c r="A10" s="222" t="s">
        <v>233</v>
      </c>
      <c r="B10" s="232">
        <v>67.900000000000006</v>
      </c>
      <c r="C10" s="232">
        <v>199.333</v>
      </c>
      <c r="D10" s="232">
        <v>238.89400000000001</v>
      </c>
      <c r="E10" s="232">
        <v>230.40299999999999</v>
      </c>
      <c r="F10" s="232">
        <v>242.24700000000001</v>
      </c>
      <c r="G10" s="232">
        <v>246.02500000000001</v>
      </c>
      <c r="H10" s="313">
        <v>256.06599999999997</v>
      </c>
      <c r="I10" s="232">
        <v>257.24700000000001</v>
      </c>
      <c r="J10" s="232">
        <v>256.56299999999999</v>
      </c>
      <c r="K10" s="232">
        <f>262626/1000</f>
        <v>262.62599999999998</v>
      </c>
      <c r="L10" s="232">
        <f>262498/1000</f>
        <v>262.49799999999999</v>
      </c>
      <c r="M10" s="232">
        <f>267350/1000</f>
        <v>267.35000000000002</v>
      </c>
      <c r="N10" s="232">
        <f>252041/1000</f>
        <v>252.041</v>
      </c>
      <c r="O10" s="314">
        <f t="shared" si="0"/>
        <v>-5.7262016083785392</v>
      </c>
      <c r="P10" s="232">
        <f>252041/1000</f>
        <v>252.041</v>
      </c>
    </row>
    <row r="11" spans="1:20" x14ac:dyDescent="0.2">
      <c r="A11" s="222" t="s">
        <v>232</v>
      </c>
      <c r="B11" s="232"/>
      <c r="C11" s="232"/>
      <c r="D11" s="232"/>
      <c r="E11" s="232"/>
      <c r="F11" s="232">
        <v>49.965000000000003</v>
      </c>
      <c r="G11" s="232">
        <v>55.136000000000003</v>
      </c>
      <c r="H11" s="313">
        <v>60.094999999999999</v>
      </c>
      <c r="I11" s="232">
        <v>62.83</v>
      </c>
      <c r="J11" s="232">
        <v>67.400999999999996</v>
      </c>
      <c r="K11" s="232">
        <v>72.608000000000004</v>
      </c>
      <c r="L11" s="232">
        <v>79.225999999999999</v>
      </c>
      <c r="M11" s="232">
        <v>109.48</v>
      </c>
      <c r="N11" s="232">
        <v>156.82400000000001</v>
      </c>
      <c r="O11" s="314">
        <f t="shared" si="0"/>
        <v>43.244428206065038</v>
      </c>
      <c r="P11" s="232">
        <v>156.82400000000001</v>
      </c>
    </row>
    <row r="12" spans="1:20" x14ac:dyDescent="0.2">
      <c r="A12" s="222" t="s">
        <v>4</v>
      </c>
      <c r="B12" s="232">
        <v>40.1</v>
      </c>
      <c r="C12" s="232">
        <v>64.427000000000007</v>
      </c>
      <c r="D12" s="232">
        <v>70.263000000000005</v>
      </c>
      <c r="E12" s="232">
        <v>74.790000000000006</v>
      </c>
      <c r="F12" s="232">
        <v>79.873999999999995</v>
      </c>
      <c r="G12" s="232">
        <v>80.411000000000001</v>
      </c>
      <c r="H12" s="313">
        <v>85.938000000000002</v>
      </c>
      <c r="I12" s="232">
        <v>86.472999999999999</v>
      </c>
      <c r="J12" s="232">
        <v>86.477999999999994</v>
      </c>
      <c r="K12" s="232">
        <f>85121/1000</f>
        <v>85.120999999999995</v>
      </c>
      <c r="L12" s="232">
        <f>85070/1000</f>
        <v>85.07</v>
      </c>
      <c r="M12" s="232">
        <f>84903/1000</f>
        <v>84.903000000000006</v>
      </c>
      <c r="N12" s="232">
        <f>83371/1000</f>
        <v>83.370999999999995</v>
      </c>
      <c r="O12" s="314">
        <f t="shared" si="0"/>
        <v>-1.8044120938011738</v>
      </c>
      <c r="P12" s="232">
        <f>83371/1000</f>
        <v>83.370999999999995</v>
      </c>
    </row>
    <row r="13" spans="1:20" x14ac:dyDescent="0.2">
      <c r="A13" s="222" t="s">
        <v>114</v>
      </c>
      <c r="B13" s="232">
        <v>15.824</v>
      </c>
      <c r="C13" s="232">
        <v>46.128</v>
      </c>
      <c r="D13" s="232">
        <v>63.392000000000003</v>
      </c>
      <c r="E13" s="232">
        <v>88.436999999999998</v>
      </c>
      <c r="F13" s="232">
        <v>121.31699999999999</v>
      </c>
      <c r="G13" s="232">
        <v>126.69799999999999</v>
      </c>
      <c r="H13" s="313">
        <v>136.244</v>
      </c>
      <c r="I13" s="232">
        <v>152.08000000000001</v>
      </c>
      <c r="J13" s="232">
        <v>174.09200000000001</v>
      </c>
      <c r="K13" s="232">
        <f>187428/1000</f>
        <v>187.428</v>
      </c>
      <c r="L13" s="232">
        <f>199225/1000</f>
        <v>199.22499999999999</v>
      </c>
      <c r="M13" s="232">
        <f>219337/1000</f>
        <v>219.33699999999999</v>
      </c>
      <c r="N13" s="232">
        <f>239146/1000</f>
        <v>239.14599999999999</v>
      </c>
      <c r="O13" s="314">
        <f t="shared" si="0"/>
        <v>9.0313079872524913</v>
      </c>
      <c r="P13" s="232">
        <f>239146/1000</f>
        <v>239.14599999999999</v>
      </c>
    </row>
    <row r="14" spans="1:20" x14ac:dyDescent="0.2">
      <c r="A14" s="222" t="s">
        <v>5</v>
      </c>
      <c r="B14" s="232">
        <v>91.741</v>
      </c>
      <c r="C14" s="232">
        <v>74.435000000000002</v>
      </c>
      <c r="D14" s="232">
        <v>93.385999999999996</v>
      </c>
      <c r="E14" s="232">
        <v>131.654</v>
      </c>
      <c r="F14" s="232">
        <v>137.37</v>
      </c>
      <c r="G14" s="232">
        <v>140.6</v>
      </c>
      <c r="H14" s="313">
        <v>135.17599999999999</v>
      </c>
      <c r="I14" s="232">
        <v>135.08000000000001</v>
      </c>
      <c r="J14" s="232">
        <v>134.75800000000001</v>
      </c>
      <c r="K14" s="232">
        <f>(138256+364)/1000</f>
        <v>138.62</v>
      </c>
      <c r="L14" s="232">
        <f>140613/1000</f>
        <v>140.613</v>
      </c>
      <c r="M14" s="232">
        <f>142041/1000</f>
        <v>142.041</v>
      </c>
      <c r="N14" s="232">
        <f>141663/1000</f>
        <v>141.66300000000001</v>
      </c>
      <c r="O14" s="312" t="s">
        <v>266</v>
      </c>
      <c r="P14" s="232">
        <f>141018/1000</f>
        <v>141.018</v>
      </c>
    </row>
    <row r="15" spans="1:20" x14ac:dyDescent="0.2">
      <c r="A15" s="222" t="s">
        <v>87</v>
      </c>
      <c r="B15" s="232">
        <v>75.812999999999874</v>
      </c>
      <c r="C15" s="232">
        <v>125.69200000000023</v>
      </c>
      <c r="D15" s="232">
        <v>224.16799999999967</v>
      </c>
      <c r="E15" s="232">
        <v>253.81299999999976</v>
      </c>
      <c r="F15" s="232">
        <v>196.27099999999999</v>
      </c>
      <c r="G15" s="232">
        <v>200.72300000000001</v>
      </c>
      <c r="H15" s="313">
        <v>226.173</v>
      </c>
      <c r="I15" s="232">
        <v>231.97399999999999</v>
      </c>
      <c r="J15" s="232">
        <v>256.786</v>
      </c>
      <c r="K15" s="232">
        <f>(260480-364)/1000</f>
        <v>260.11599999999999</v>
      </c>
      <c r="L15" s="232">
        <f>269247/1000</f>
        <v>269.24700000000001</v>
      </c>
      <c r="M15" s="232">
        <f>281637/1000</f>
        <v>281.637</v>
      </c>
      <c r="N15" s="232">
        <f>294473/1000</f>
        <v>294.47300000000001</v>
      </c>
      <c r="O15" s="314">
        <f t="shared" si="0"/>
        <v>4.5576397987480384</v>
      </c>
      <c r="P15" s="232">
        <f>261770/1000</f>
        <v>261.77</v>
      </c>
    </row>
    <row r="16" spans="1:20" x14ac:dyDescent="0.2">
      <c r="A16" s="125" t="s">
        <v>8</v>
      </c>
      <c r="B16" s="126">
        <f t="shared" ref="B16:J16" si="1">SUM(B9:B15,B6)</f>
        <v>1181.0999999999999</v>
      </c>
      <c r="C16" s="126">
        <f t="shared" si="1"/>
        <v>1717.0600000000002</v>
      </c>
      <c r="D16" s="126">
        <f t="shared" si="1"/>
        <v>2160.2529999999997</v>
      </c>
      <c r="E16" s="126">
        <f t="shared" si="1"/>
        <v>2283.2669999999998</v>
      </c>
      <c r="F16" s="126">
        <f t="shared" si="1"/>
        <v>2349.1990000000001</v>
      </c>
      <c r="G16" s="126">
        <v>2385.0510000000004</v>
      </c>
      <c r="H16" s="127">
        <f t="shared" si="1"/>
        <v>2569.8959999999997</v>
      </c>
      <c r="I16" s="316">
        <f t="shared" si="1"/>
        <v>2617.3159999999998</v>
      </c>
      <c r="J16" s="126">
        <f t="shared" si="1"/>
        <v>2689.8090000000002</v>
      </c>
      <c r="K16" s="126">
        <f>SUM(K9:K15,K6)</f>
        <v>2754.5860000000002</v>
      </c>
      <c r="L16" s="126">
        <f>SUM(L9:L15,L6)</f>
        <v>2807.002</v>
      </c>
      <c r="M16" s="126">
        <f>SUM(M9:M15,M6)</f>
        <v>2895.4940000000001</v>
      </c>
      <c r="N16" s="126">
        <f>SUM(N9:N15,N6)</f>
        <v>2968.9359999999997</v>
      </c>
      <c r="O16" s="40">
        <f>100*(N16-M16)/M16</f>
        <v>2.5364238364852265</v>
      </c>
      <c r="P16" s="126">
        <f>SUM(P9:P15,P6)</f>
        <v>2968.9359999999997</v>
      </c>
      <c r="Q16" s="21"/>
      <c r="R16" s="21"/>
    </row>
    <row r="17" spans="1:19" x14ac:dyDescent="0.2">
      <c r="A17" s="128" t="s">
        <v>85</v>
      </c>
      <c r="B17" s="129"/>
      <c r="C17" s="129">
        <v>224.06299999999999</v>
      </c>
      <c r="D17" s="129">
        <v>277.38400000000001</v>
      </c>
      <c r="E17" s="129">
        <v>333.68900000000002</v>
      </c>
      <c r="F17" s="129">
        <v>446.91199999999998</v>
      </c>
      <c r="G17" s="129">
        <v>461.23</v>
      </c>
      <c r="H17" s="130">
        <v>491.69600000000003</v>
      </c>
      <c r="I17" s="131">
        <v>516.58799999999997</v>
      </c>
      <c r="J17" s="132">
        <v>565.7170000000001</v>
      </c>
      <c r="K17" s="132">
        <v>590.13799999999992</v>
      </c>
      <c r="L17" s="132">
        <v>617.245</v>
      </c>
      <c r="M17" s="132">
        <v>670.10400000000004</v>
      </c>
      <c r="N17" s="132">
        <v>736.78800000000001</v>
      </c>
      <c r="O17" s="41">
        <f>100*(N17-M17)/M17</f>
        <v>9.9512911428673707</v>
      </c>
      <c r="P17" s="132">
        <f>N17</f>
        <v>736.78800000000001</v>
      </c>
    </row>
    <row r="18" spans="1:19" x14ac:dyDescent="0.2">
      <c r="A18" s="133" t="s">
        <v>84</v>
      </c>
      <c r="B18" s="134"/>
      <c r="C18" s="134">
        <v>161.148</v>
      </c>
      <c r="D18" s="134">
        <v>174.608</v>
      </c>
      <c r="E18" s="134">
        <v>265.70999999999998</v>
      </c>
      <c r="F18" s="134">
        <v>286.09100000000001</v>
      </c>
      <c r="G18" s="134">
        <v>290.14299999999997</v>
      </c>
      <c r="H18" s="135">
        <v>309.62299999999999</v>
      </c>
      <c r="I18" s="136">
        <v>323.86799999999999</v>
      </c>
      <c r="J18" s="137">
        <v>343.38799999999998</v>
      </c>
      <c r="K18" s="137">
        <v>360.34100000000001</v>
      </c>
      <c r="L18" s="137">
        <v>372.548</v>
      </c>
      <c r="M18" s="137">
        <v>368.95499999999998</v>
      </c>
      <c r="N18" s="137">
        <v>400.02600000000001</v>
      </c>
      <c r="O18" s="42">
        <f>100*(N18-M18)/M18</f>
        <v>8.4213521974224577</v>
      </c>
      <c r="P18" s="137">
        <f>N18</f>
        <v>400.02600000000001</v>
      </c>
    </row>
    <row r="19" spans="1:19" x14ac:dyDescent="0.2">
      <c r="A19" s="286"/>
      <c r="B19" s="287"/>
      <c r="C19" s="287"/>
      <c r="D19" s="287"/>
      <c r="E19" s="287"/>
      <c r="F19" s="287"/>
      <c r="G19" s="287"/>
      <c r="H19" s="287"/>
      <c r="I19" s="287"/>
      <c r="J19" s="287"/>
      <c r="K19" s="287"/>
      <c r="L19" s="287"/>
      <c r="M19" s="287"/>
      <c r="N19" s="287"/>
      <c r="O19" s="288"/>
      <c r="P19" s="123"/>
    </row>
    <row r="20" spans="1:19" x14ac:dyDescent="0.2">
      <c r="A20" s="410" t="s">
        <v>214</v>
      </c>
      <c r="B20" s="410"/>
      <c r="C20" s="410"/>
      <c r="D20" s="410"/>
      <c r="E20" s="410"/>
      <c r="F20" s="410"/>
      <c r="G20" s="410"/>
      <c r="H20" s="410"/>
      <c r="I20" s="410"/>
      <c r="J20" s="410"/>
      <c r="K20" s="410"/>
      <c r="L20" s="410"/>
      <c r="M20" s="410"/>
      <c r="N20" s="410"/>
      <c r="O20" s="410"/>
      <c r="P20" s="1"/>
    </row>
    <row r="21" spans="1:19" ht="12.75" customHeight="1" x14ac:dyDescent="0.2">
      <c r="A21" s="410" t="s">
        <v>225</v>
      </c>
      <c r="B21" s="410"/>
      <c r="C21" s="410"/>
      <c r="D21" s="410"/>
      <c r="E21" s="410"/>
      <c r="F21" s="410"/>
      <c r="G21" s="410"/>
      <c r="H21" s="410"/>
      <c r="I21" s="410"/>
      <c r="J21" s="410"/>
      <c r="K21" s="410"/>
      <c r="L21" s="410"/>
      <c r="M21" s="410"/>
      <c r="N21" s="410"/>
      <c r="O21" s="410"/>
      <c r="P21" s="33"/>
    </row>
    <row r="22" spans="1:19" ht="12.75" customHeight="1" x14ac:dyDescent="0.2">
      <c r="A22" s="410" t="s">
        <v>6</v>
      </c>
      <c r="B22" s="410"/>
      <c r="C22" s="410"/>
      <c r="D22" s="410"/>
      <c r="E22" s="410"/>
      <c r="F22" s="410"/>
      <c r="G22" s="410"/>
      <c r="H22" s="410"/>
      <c r="I22" s="410"/>
      <c r="J22" s="410"/>
      <c r="K22" s="410"/>
      <c r="L22" s="410"/>
      <c r="M22" s="410"/>
      <c r="N22" s="410"/>
      <c r="O22" s="410"/>
      <c r="P22" s="290"/>
    </row>
    <row r="23" spans="1:19" ht="12.75" customHeight="1" x14ac:dyDescent="0.2">
      <c r="A23" s="410" t="s">
        <v>238</v>
      </c>
      <c r="B23" s="410"/>
      <c r="C23" s="410"/>
      <c r="D23" s="410"/>
      <c r="E23" s="410"/>
      <c r="F23" s="410"/>
      <c r="G23" s="410"/>
      <c r="H23" s="410"/>
      <c r="I23" s="410"/>
      <c r="J23" s="410"/>
      <c r="K23" s="410"/>
      <c r="L23" s="410"/>
      <c r="M23" s="410"/>
      <c r="N23" s="410"/>
      <c r="O23" s="410"/>
      <c r="P23" s="33"/>
    </row>
    <row r="24" spans="1:19" ht="23.25" customHeight="1" x14ac:dyDescent="0.2">
      <c r="A24" s="410" t="s">
        <v>183</v>
      </c>
      <c r="B24" s="410"/>
      <c r="C24" s="410"/>
      <c r="D24" s="410"/>
      <c r="E24" s="410"/>
      <c r="F24" s="410"/>
      <c r="G24" s="410"/>
      <c r="H24" s="410"/>
      <c r="I24" s="410"/>
      <c r="J24" s="410"/>
      <c r="K24" s="410"/>
      <c r="L24" s="410"/>
      <c r="M24" s="410"/>
      <c r="N24" s="410"/>
      <c r="O24" s="410"/>
      <c r="P24" s="21"/>
      <c r="S24" s="214"/>
    </row>
    <row r="25" spans="1:19" ht="23.25" customHeight="1" x14ac:dyDescent="0.2">
      <c r="A25" s="410" t="s">
        <v>228</v>
      </c>
      <c r="B25" s="410"/>
      <c r="C25" s="410"/>
      <c r="D25" s="410"/>
      <c r="E25" s="410"/>
      <c r="F25" s="410"/>
      <c r="G25" s="410"/>
      <c r="H25" s="410"/>
      <c r="I25" s="410"/>
      <c r="J25" s="410"/>
      <c r="K25" s="410"/>
      <c r="L25" s="410"/>
      <c r="M25" s="410"/>
      <c r="N25" s="410"/>
      <c r="O25" s="410"/>
      <c r="P25" s="21"/>
      <c r="S25" s="214"/>
    </row>
    <row r="26" spans="1:19" ht="16.5" customHeight="1" x14ac:dyDescent="0.2">
      <c r="A26" s="407" t="s">
        <v>201</v>
      </c>
      <c r="B26" s="407"/>
      <c r="C26" s="407"/>
      <c r="D26" s="407"/>
      <c r="E26" s="407"/>
      <c r="F26" s="407"/>
      <c r="G26" s="407"/>
      <c r="H26" s="407"/>
      <c r="I26" s="407"/>
      <c r="J26" s="407"/>
      <c r="K26" s="407"/>
      <c r="L26" s="407"/>
      <c r="M26" s="407"/>
      <c r="N26" s="407"/>
      <c r="O26" s="407"/>
      <c r="P26" s="33"/>
    </row>
    <row r="27" spans="1:19" ht="25.5" customHeight="1" x14ac:dyDescent="0.2">
      <c r="A27" s="407" t="s">
        <v>352</v>
      </c>
      <c r="B27" s="407"/>
      <c r="C27" s="407"/>
      <c r="D27" s="407"/>
      <c r="E27" s="407"/>
      <c r="F27" s="407"/>
      <c r="G27" s="407"/>
      <c r="H27" s="407"/>
      <c r="I27" s="407"/>
      <c r="J27" s="407"/>
      <c r="K27" s="407"/>
      <c r="L27" s="407"/>
      <c r="M27" s="407"/>
      <c r="N27" s="407"/>
      <c r="O27" s="407"/>
      <c r="P27" s="169"/>
      <c r="Q27" s="213"/>
    </row>
    <row r="28" spans="1:19" ht="12.75" customHeight="1" x14ac:dyDescent="0.2">
      <c r="B28" s="1"/>
      <c r="C28" s="1"/>
      <c r="D28" s="1"/>
      <c r="E28" s="1"/>
      <c r="F28" s="1"/>
      <c r="G28" s="1"/>
      <c r="H28" s="1"/>
      <c r="I28" s="1"/>
      <c r="J28" s="1"/>
      <c r="K28" s="1"/>
      <c r="L28" s="1"/>
      <c r="M28" s="1"/>
      <c r="N28" s="1"/>
      <c r="O28" s="1"/>
      <c r="P28" s="1"/>
    </row>
    <row r="29" spans="1:19" x14ac:dyDescent="0.2">
      <c r="B29" s="1"/>
      <c r="C29" s="1"/>
      <c r="D29" s="1"/>
      <c r="E29" s="1"/>
      <c r="F29" s="1"/>
      <c r="G29" s="1"/>
      <c r="H29"/>
      <c r="I29"/>
      <c r="J29"/>
      <c r="K29"/>
      <c r="L29"/>
      <c r="M29"/>
      <c r="N29"/>
      <c r="O29" s="1"/>
      <c r="P29" s="1"/>
    </row>
    <row r="30" spans="1:19" x14ac:dyDescent="0.2">
      <c r="B30" s="1"/>
      <c r="C30" s="1"/>
      <c r="D30" s="1"/>
      <c r="E30" s="1"/>
      <c r="F30" s="1"/>
      <c r="G30" s="1"/>
      <c r="H30" s="1"/>
      <c r="I30" s="1"/>
      <c r="J30" s="1"/>
      <c r="K30" s="1"/>
      <c r="L30" s="21"/>
      <c r="M30" s="21"/>
      <c r="N30" s="21"/>
      <c r="O30" s="1"/>
      <c r="P30" s="21"/>
    </row>
    <row r="31" spans="1:19" x14ac:dyDescent="0.2">
      <c r="B31" s="1"/>
      <c r="C31" s="1"/>
      <c r="D31" s="1"/>
      <c r="E31" s="1"/>
      <c r="F31" s="1"/>
      <c r="G31" s="1"/>
      <c r="H31"/>
      <c r="I31"/>
      <c r="J31"/>
      <c r="K31"/>
      <c r="L31"/>
      <c r="M31"/>
      <c r="N31"/>
      <c r="O31" s="1"/>
      <c r="P31" s="1"/>
    </row>
    <row r="32" spans="1:19" x14ac:dyDescent="0.2">
      <c r="B32" s="1"/>
      <c r="C32" s="1"/>
      <c r="D32" s="1"/>
      <c r="E32" s="1"/>
      <c r="F32" s="1"/>
      <c r="G32" s="1"/>
      <c r="H32" s="1"/>
      <c r="I32" s="1"/>
      <c r="J32" s="1"/>
      <c r="K32" s="1"/>
      <c r="L32" s="1"/>
      <c r="M32" s="1"/>
      <c r="N32" s="1"/>
      <c r="O32" s="180"/>
      <c r="P32" s="21"/>
    </row>
    <row r="33" spans="2:16" x14ac:dyDescent="0.2">
      <c r="D33" s="1"/>
      <c r="E33" s="1"/>
      <c r="F33" s="1"/>
      <c r="G33" s="1"/>
      <c r="H33" s="21"/>
      <c r="I33" s="21"/>
      <c r="J33" s="21"/>
      <c r="K33" s="21"/>
      <c r="L33" s="21"/>
      <c r="M33" s="21"/>
      <c r="N33" s="21"/>
      <c r="O33" s="1"/>
      <c r="P33" s="1"/>
    </row>
    <row r="34" spans="2:16" x14ac:dyDescent="0.2">
      <c r="D34" s="1"/>
      <c r="E34" s="1"/>
      <c r="F34" s="1"/>
      <c r="G34" s="1"/>
      <c r="H34" s="1"/>
      <c r="I34" s="1"/>
      <c r="J34" s="1"/>
      <c r="K34" s="1"/>
      <c r="L34" s="21"/>
      <c r="M34" s="21"/>
      <c r="N34" s="21"/>
      <c r="O34" s="1"/>
      <c r="P34" s="21"/>
    </row>
    <row r="35" spans="2:16" x14ac:dyDescent="0.2">
      <c r="D35" s="1"/>
      <c r="E35" s="1"/>
      <c r="F35" s="1"/>
      <c r="G35" s="1"/>
      <c r="H35" s="1"/>
      <c r="I35" s="1"/>
      <c r="J35" s="1"/>
      <c r="K35" s="1"/>
      <c r="L35" s="1"/>
      <c r="M35" s="21"/>
      <c r="N35" s="21"/>
      <c r="O35" s="1"/>
      <c r="P35" s="1"/>
    </row>
    <row r="36" spans="2:16" x14ac:dyDescent="0.2">
      <c r="D36" s="1"/>
      <c r="E36" s="1"/>
      <c r="F36" s="1"/>
      <c r="G36" s="1"/>
      <c r="L36" s="21"/>
      <c r="M36" s="21"/>
      <c r="N36" s="21"/>
      <c r="O36" s="180"/>
      <c r="P36" s="21"/>
    </row>
    <row r="37" spans="2:16" x14ac:dyDescent="0.2">
      <c r="D37" s="1"/>
      <c r="E37" s="1"/>
      <c r="F37" s="1"/>
      <c r="G37" s="1"/>
    </row>
    <row r="38" spans="2:16" x14ac:dyDescent="0.2">
      <c r="D38" s="1"/>
      <c r="E38" s="1"/>
      <c r="F38" s="1"/>
      <c r="G38" s="1"/>
    </row>
    <row r="39" spans="2:16" x14ac:dyDescent="0.2">
      <c r="D39" s="1"/>
      <c r="E39" s="1"/>
      <c r="F39" s="1"/>
      <c r="G39" s="1"/>
    </row>
    <row r="40" spans="2:16" x14ac:dyDescent="0.2">
      <c r="D40" s="1"/>
      <c r="E40" s="1"/>
      <c r="F40" s="1"/>
      <c r="G40" s="1"/>
    </row>
    <row r="41" spans="2:16" x14ac:dyDescent="0.2">
      <c r="D41" s="1"/>
      <c r="E41" s="1"/>
      <c r="F41" s="1"/>
      <c r="G41" s="1"/>
    </row>
    <row r="42" spans="2:16" x14ac:dyDescent="0.2">
      <c r="D42" s="1"/>
      <c r="E42" s="1"/>
      <c r="F42" s="1"/>
      <c r="G42" s="1"/>
    </row>
    <row r="43" spans="2:16" x14ac:dyDescent="0.2">
      <c r="D43" s="1"/>
      <c r="E43" s="1"/>
      <c r="F43" s="1"/>
      <c r="G43" s="1"/>
    </row>
    <row r="44" spans="2:16" x14ac:dyDescent="0.2">
      <c r="D44" s="1"/>
    </row>
    <row r="46" spans="2:16" x14ac:dyDescent="0.2">
      <c r="B46" s="1"/>
      <c r="C46" s="1"/>
      <c r="D46" s="1"/>
      <c r="E46" s="1"/>
      <c r="F46" s="1"/>
      <c r="G46" s="1"/>
      <c r="H46" s="1"/>
      <c r="I46" s="1"/>
      <c r="J46" s="1"/>
      <c r="K46" s="1"/>
      <c r="L46" s="1"/>
      <c r="M46" s="1"/>
      <c r="N46" s="1"/>
      <c r="O46" s="1"/>
      <c r="P46" s="1"/>
    </row>
    <row r="47" spans="2:16" x14ac:dyDescent="0.2">
      <c r="B47" s="1"/>
      <c r="C47" s="1"/>
      <c r="D47" s="1"/>
      <c r="E47" s="1"/>
      <c r="F47" s="1"/>
      <c r="G47" s="1"/>
      <c r="H47" s="1"/>
      <c r="I47" s="1"/>
      <c r="J47" s="1"/>
      <c r="K47" s="1"/>
      <c r="L47" s="1"/>
      <c r="M47" s="1"/>
      <c r="N47" s="1"/>
      <c r="O47" s="1"/>
      <c r="P47" s="1"/>
    </row>
  </sheetData>
  <mergeCells count="24">
    <mergeCell ref="N4:N5"/>
    <mergeCell ref="A23:O23"/>
    <mergeCell ref="A26:O26"/>
    <mergeCell ref="A24:O24"/>
    <mergeCell ref="A27:O27"/>
    <mergeCell ref="A20:O20"/>
    <mergeCell ref="A25:O25"/>
    <mergeCell ref="G4:G5"/>
    <mergeCell ref="P4:P5"/>
    <mergeCell ref="A21:O21"/>
    <mergeCell ref="A22:O22"/>
    <mergeCell ref="H4:H5"/>
    <mergeCell ref="J4:J5"/>
    <mergeCell ref="I4:I5"/>
    <mergeCell ref="K4:K5"/>
    <mergeCell ref="A4:A5"/>
    <mergeCell ref="B4:B5"/>
    <mergeCell ref="C4:C5"/>
    <mergeCell ref="D4:D5"/>
    <mergeCell ref="F4:F5"/>
    <mergeCell ref="E4:E5"/>
    <mergeCell ref="L4:L5"/>
    <mergeCell ref="O4:O5"/>
    <mergeCell ref="M4:M5"/>
  </mergeCells>
  <phoneticPr fontId="0" type="noConversion"/>
  <hyperlinks>
    <hyperlink ref="A3" location="Sommaire!A2" display="Retour au sommaire"/>
  </hyperlinks>
  <pageMargins left="0.78740157499999996" right="0.78740157499999996" top="0.984251969" bottom="0.984251969" header="0.4921259845" footer="0.4921259845"/>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zoomScale="112" zoomScaleNormal="112" workbookViewId="0">
      <selection activeCell="A3" sqref="A3"/>
    </sheetView>
  </sheetViews>
  <sheetFormatPr baseColWidth="10" defaultColWidth="11.42578125" defaultRowHeight="12" x14ac:dyDescent="0.2"/>
  <cols>
    <col min="1" max="1" width="26.85546875" style="184" customWidth="1"/>
    <col min="2" max="4" width="19.7109375" style="184" customWidth="1"/>
    <col min="5" max="6" width="10.7109375" style="184" customWidth="1"/>
    <col min="7" max="7" width="16.140625" style="184" customWidth="1"/>
    <col min="8" max="8" width="10.85546875" style="184" customWidth="1"/>
    <col min="9" max="16384" width="11.42578125" style="184"/>
  </cols>
  <sheetData>
    <row r="1" spans="1:17" x14ac:dyDescent="0.2">
      <c r="A1" s="183" t="s">
        <v>344</v>
      </c>
    </row>
    <row r="2" spans="1:17" x14ac:dyDescent="0.2">
      <c r="A2" s="3" t="s">
        <v>200</v>
      </c>
      <c r="J2" s="197"/>
    </row>
    <row r="3" spans="1:17" ht="12.75" thickBot="1" x14ac:dyDescent="0.25">
      <c r="A3" s="388" t="s">
        <v>346</v>
      </c>
      <c r="J3" s="418"/>
      <c r="K3" s="418"/>
      <c r="L3" s="418"/>
      <c r="M3" s="418"/>
      <c r="N3" s="418"/>
      <c r="O3" s="418"/>
      <c r="P3" s="418"/>
      <c r="Q3" s="418"/>
    </row>
    <row r="4" spans="1:17" ht="13.5" thickBot="1" x14ac:dyDescent="0.25">
      <c r="A4" s="203"/>
      <c r="B4" s="203" t="s">
        <v>202</v>
      </c>
      <c r="C4" s="203" t="s">
        <v>203</v>
      </c>
      <c r="D4" s="203" t="s">
        <v>315</v>
      </c>
      <c r="E4" s="434" t="s">
        <v>8</v>
      </c>
      <c r="F4" s="435"/>
    </row>
    <row r="5" spans="1:17" ht="51" x14ac:dyDescent="0.2">
      <c r="A5" s="203"/>
      <c r="B5" s="203" t="s">
        <v>316</v>
      </c>
      <c r="C5" s="203" t="s">
        <v>316</v>
      </c>
      <c r="D5" s="203" t="s">
        <v>316</v>
      </c>
      <c r="E5" s="203" t="s">
        <v>316</v>
      </c>
      <c r="F5" s="203" t="s">
        <v>317</v>
      </c>
      <c r="G5" s="185"/>
      <c r="H5" s="185"/>
    </row>
    <row r="6" spans="1:17" x14ac:dyDescent="0.2">
      <c r="A6" s="380" t="s">
        <v>318</v>
      </c>
      <c r="B6" s="381">
        <v>136534</v>
      </c>
      <c r="C6" s="381">
        <v>77307</v>
      </c>
      <c r="D6" s="381">
        <v>6041</v>
      </c>
      <c r="E6" s="382">
        <v>219882</v>
      </c>
      <c r="F6" s="383">
        <v>0.54598331870061456</v>
      </c>
    </row>
    <row r="7" spans="1:17" x14ac:dyDescent="0.2">
      <c r="A7" s="372" t="s">
        <v>319</v>
      </c>
      <c r="B7" s="373">
        <v>136710</v>
      </c>
      <c r="C7" s="373">
        <v>63026</v>
      </c>
      <c r="D7" s="373">
        <v>2849</v>
      </c>
      <c r="E7" s="374">
        <v>202585</v>
      </c>
      <c r="F7" s="375">
        <v>0.12405230954757974</v>
      </c>
    </row>
    <row r="8" spans="1:17" x14ac:dyDescent="0.2">
      <c r="A8" s="372" t="s">
        <v>320</v>
      </c>
      <c r="B8" s="373">
        <v>30826</v>
      </c>
      <c r="C8" s="373">
        <v>2154</v>
      </c>
      <c r="D8" s="373">
        <v>9</v>
      </c>
      <c r="E8" s="374">
        <v>32989</v>
      </c>
      <c r="F8" s="375">
        <v>-5.5568279415974811</v>
      </c>
    </row>
    <row r="9" spans="1:17" ht="22.5" x14ac:dyDescent="0.2">
      <c r="A9" s="372" t="s">
        <v>321</v>
      </c>
      <c r="B9" s="373">
        <v>2596</v>
      </c>
      <c r="C9" s="373">
        <v>893</v>
      </c>
      <c r="D9" s="374"/>
      <c r="E9" s="374">
        <v>3489</v>
      </c>
      <c r="F9" s="376">
        <v>7.4199507389162562</v>
      </c>
    </row>
    <row r="10" spans="1:17" x14ac:dyDescent="0.2">
      <c r="A10" s="380" t="s">
        <v>322</v>
      </c>
      <c r="B10" s="381">
        <v>170132</v>
      </c>
      <c r="C10" s="381">
        <v>66073</v>
      </c>
      <c r="D10" s="381">
        <v>2858</v>
      </c>
      <c r="E10" s="381">
        <v>239063</v>
      </c>
      <c r="F10" s="383">
        <v>-0.6024647418839808</v>
      </c>
    </row>
    <row r="11" spans="1:17" x14ac:dyDescent="0.2">
      <c r="A11" s="372" t="s">
        <v>323</v>
      </c>
      <c r="B11" s="373">
        <v>67058</v>
      </c>
      <c r="C11" s="373">
        <v>20577</v>
      </c>
      <c r="D11" s="373">
        <v>4405</v>
      </c>
      <c r="E11" s="374">
        <v>92040</v>
      </c>
      <c r="F11" s="375">
        <v>-0.60045790314916414</v>
      </c>
    </row>
    <row r="12" spans="1:17" x14ac:dyDescent="0.2">
      <c r="A12" s="372" t="s">
        <v>324</v>
      </c>
      <c r="B12" s="373">
        <v>93497</v>
      </c>
      <c r="C12" s="373">
        <v>14577</v>
      </c>
      <c r="D12" s="373">
        <v>1922</v>
      </c>
      <c r="E12" s="374">
        <v>109996</v>
      </c>
      <c r="F12" s="375">
        <v>-4.3928726640591043</v>
      </c>
    </row>
    <row r="13" spans="1:17" x14ac:dyDescent="0.2">
      <c r="A13" s="372" t="s">
        <v>325</v>
      </c>
      <c r="B13" s="373">
        <v>187483</v>
      </c>
      <c r="C13" s="373">
        <v>123158</v>
      </c>
      <c r="D13" s="373">
        <v>10820</v>
      </c>
      <c r="E13" s="374">
        <v>321461</v>
      </c>
      <c r="F13" s="375">
        <v>1.6268593016455117</v>
      </c>
    </row>
    <row r="14" spans="1:17" ht="22.5" x14ac:dyDescent="0.2">
      <c r="A14" s="372" t="s">
        <v>326</v>
      </c>
      <c r="B14" s="373">
        <v>6711</v>
      </c>
      <c r="C14" s="373">
        <v>6849</v>
      </c>
      <c r="D14" s="373">
        <v>31</v>
      </c>
      <c r="E14" s="374">
        <v>13591</v>
      </c>
      <c r="F14" s="375">
        <v>43.410361928880448</v>
      </c>
    </row>
    <row r="15" spans="1:17" x14ac:dyDescent="0.2">
      <c r="A15" s="380" t="s">
        <v>327</v>
      </c>
      <c r="B15" s="381">
        <v>354749</v>
      </c>
      <c r="C15" s="381">
        <v>165161</v>
      </c>
      <c r="D15" s="381">
        <v>17178</v>
      </c>
      <c r="E15" s="381">
        <v>537088</v>
      </c>
      <c r="F15" s="383">
        <v>0.68424071775913975</v>
      </c>
      <c r="G15" s="185"/>
      <c r="H15" s="185"/>
    </row>
    <row r="16" spans="1:17" ht="22.5" x14ac:dyDescent="0.2">
      <c r="A16" s="372" t="s">
        <v>328</v>
      </c>
      <c r="B16" s="373">
        <v>160003</v>
      </c>
      <c r="C16" s="373">
        <v>80967</v>
      </c>
      <c r="D16" s="373">
        <v>15402</v>
      </c>
      <c r="E16" s="374">
        <v>256372</v>
      </c>
      <c r="F16" s="375">
        <v>-0.50297281773444891</v>
      </c>
    </row>
    <row r="17" spans="1:6" x14ac:dyDescent="0.2">
      <c r="A17" s="372" t="s">
        <v>329</v>
      </c>
      <c r="B17" s="373">
        <v>71520</v>
      </c>
      <c r="C17" s="373">
        <v>26404</v>
      </c>
      <c r="D17" s="373">
        <v>10856</v>
      </c>
      <c r="E17" s="374">
        <v>108780</v>
      </c>
      <c r="F17" s="375">
        <v>5.1756311214673154</v>
      </c>
    </row>
    <row r="18" spans="1:6" x14ac:dyDescent="0.2">
      <c r="A18" s="372" t="s">
        <v>330</v>
      </c>
      <c r="B18" s="373">
        <v>15114</v>
      </c>
      <c r="C18" s="373">
        <v>1825</v>
      </c>
      <c r="D18" s="373">
        <v>108</v>
      </c>
      <c r="E18" s="374">
        <v>17047</v>
      </c>
      <c r="F18" s="375">
        <v>4.8336510669700505</v>
      </c>
    </row>
    <row r="19" spans="1:6" x14ac:dyDescent="0.2">
      <c r="A19" s="380" t="s">
        <v>331</v>
      </c>
      <c r="B19" s="381">
        <v>246637</v>
      </c>
      <c r="C19" s="381">
        <v>109196</v>
      </c>
      <c r="D19" s="381">
        <v>26366</v>
      </c>
      <c r="E19" s="381">
        <v>382199</v>
      </c>
      <c r="F19" s="383">
        <v>1.2834034704629051</v>
      </c>
    </row>
    <row r="20" spans="1:6" x14ac:dyDescent="0.2">
      <c r="A20" s="380" t="s">
        <v>332</v>
      </c>
      <c r="B20" s="381">
        <v>55137</v>
      </c>
      <c r="C20" s="381">
        <v>6284</v>
      </c>
      <c r="D20" s="381">
        <v>569</v>
      </c>
      <c r="E20" s="382">
        <v>61990</v>
      </c>
      <c r="F20" s="383">
        <v>-0.10152611477285546</v>
      </c>
    </row>
    <row r="21" spans="1:6" x14ac:dyDescent="0.2">
      <c r="A21" s="380" t="s">
        <v>333</v>
      </c>
      <c r="B21" s="381">
        <v>131</v>
      </c>
      <c r="C21" s="381"/>
      <c r="D21" s="381"/>
      <c r="E21" s="382">
        <v>131</v>
      </c>
      <c r="F21" s="383">
        <v>-79.752704791344669</v>
      </c>
    </row>
    <row r="22" spans="1:6" x14ac:dyDescent="0.2">
      <c r="A22" s="384" t="s">
        <v>334</v>
      </c>
      <c r="B22" s="385">
        <v>963320</v>
      </c>
      <c r="C22" s="385">
        <v>424021</v>
      </c>
      <c r="D22" s="385">
        <v>53012</v>
      </c>
      <c r="E22" s="385">
        <v>1440353</v>
      </c>
      <c r="F22" s="386">
        <v>0.53458728800427724</v>
      </c>
    </row>
    <row r="23" spans="1:6" x14ac:dyDescent="0.2">
      <c r="A23" s="372" t="s">
        <v>335</v>
      </c>
      <c r="B23" s="373">
        <v>11565</v>
      </c>
      <c r="C23" s="373">
        <v>151387</v>
      </c>
      <c r="D23" s="373">
        <v>1113</v>
      </c>
      <c r="E23" s="374">
        <v>164065</v>
      </c>
      <c r="F23" s="375">
        <v>8.4978342095691559</v>
      </c>
    </row>
    <row r="24" spans="1:6" x14ac:dyDescent="0.2">
      <c r="A24" s="372" t="s">
        <v>336</v>
      </c>
      <c r="B24" s="373">
        <v>1232</v>
      </c>
      <c r="C24" s="373">
        <v>23770</v>
      </c>
      <c r="D24" s="373">
        <v>143</v>
      </c>
      <c r="E24" s="374">
        <v>25145</v>
      </c>
      <c r="F24" s="375">
        <v>6.1283923521715273</v>
      </c>
    </row>
    <row r="25" spans="1:6" x14ac:dyDescent="0.2">
      <c r="A25" s="372" t="s">
        <v>337</v>
      </c>
      <c r="B25" s="373">
        <v>27311</v>
      </c>
      <c r="C25" s="373">
        <v>38</v>
      </c>
      <c r="D25" s="374">
        <v>2</v>
      </c>
      <c r="E25" s="374">
        <v>27351</v>
      </c>
      <c r="F25" s="375">
        <v>-35.45639040966585</v>
      </c>
    </row>
    <row r="26" spans="1:6" x14ac:dyDescent="0.2">
      <c r="A26" s="384" t="s">
        <v>338</v>
      </c>
      <c r="B26" s="385">
        <v>40108</v>
      </c>
      <c r="C26" s="385">
        <v>175195</v>
      </c>
      <c r="D26" s="385">
        <v>1258</v>
      </c>
      <c r="E26" s="385">
        <v>216561</v>
      </c>
      <c r="F26" s="386">
        <v>-0.33274424255812668</v>
      </c>
    </row>
    <row r="27" spans="1:6" x14ac:dyDescent="0.2">
      <c r="A27" s="384" t="s">
        <v>128</v>
      </c>
      <c r="B27" s="385">
        <v>1003428</v>
      </c>
      <c r="C27" s="385">
        <v>599216</v>
      </c>
      <c r="D27" s="385">
        <v>54270</v>
      </c>
      <c r="E27" s="385" t="s">
        <v>339</v>
      </c>
      <c r="F27" s="386">
        <v>0.42036924128685355</v>
      </c>
    </row>
    <row r="28" spans="1:6" x14ac:dyDescent="0.2">
      <c r="A28" s="430" t="s">
        <v>340</v>
      </c>
      <c r="B28" s="430"/>
      <c r="C28" s="377"/>
      <c r="D28" s="377"/>
      <c r="E28" s="378"/>
      <c r="F28" s="378"/>
    </row>
    <row r="29" spans="1:6" ht="15" customHeight="1" x14ac:dyDescent="0.2">
      <c r="A29" s="431" t="s">
        <v>343</v>
      </c>
      <c r="B29" s="431"/>
      <c r="C29" s="431"/>
      <c r="D29" s="431"/>
      <c r="E29" s="431"/>
      <c r="F29" s="431"/>
    </row>
    <row r="30" spans="1:6" ht="12.75" x14ac:dyDescent="0.2">
      <c r="A30" s="432" t="s">
        <v>341</v>
      </c>
      <c r="B30" s="432"/>
      <c r="C30" s="432"/>
      <c r="D30" s="432"/>
      <c r="E30" s="432"/>
      <c r="F30" s="379"/>
    </row>
    <row r="31" spans="1:6" ht="51.75" customHeight="1" x14ac:dyDescent="0.2">
      <c r="A31" s="433" t="s">
        <v>342</v>
      </c>
      <c r="B31" s="433"/>
      <c r="C31" s="433"/>
      <c r="D31" s="433"/>
      <c r="E31" s="433"/>
      <c r="F31" s="433"/>
    </row>
    <row r="32" spans="1:6" x14ac:dyDescent="0.2">
      <c r="A32" s="3" t="s">
        <v>353</v>
      </c>
      <c r="B32" s="377"/>
      <c r="C32" s="377"/>
      <c r="D32" s="377"/>
      <c r="E32" s="377"/>
      <c r="F32" s="377"/>
    </row>
  </sheetData>
  <mergeCells count="6">
    <mergeCell ref="J3:Q3"/>
    <mergeCell ref="A28:B28"/>
    <mergeCell ref="A29:F29"/>
    <mergeCell ref="A30:E30"/>
    <mergeCell ref="A31:F31"/>
    <mergeCell ref="E4:F4"/>
  </mergeCells>
  <hyperlinks>
    <hyperlink ref="A3" location="Sommaire!A2" display="Retour au 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election activeCell="A2" sqref="A2"/>
    </sheetView>
  </sheetViews>
  <sheetFormatPr baseColWidth="10" defaultRowHeight="12.75" x14ac:dyDescent="0.2"/>
  <cols>
    <col min="1" max="1" width="29.28515625" bestFit="1" customWidth="1"/>
    <col min="10" max="10" width="11.42578125" style="204"/>
    <col min="11" max="11" width="30.28515625" style="199" customWidth="1"/>
    <col min="12" max="12" width="11" customWidth="1"/>
  </cols>
  <sheetData>
    <row r="1" spans="1:18" ht="15.75" customHeight="1" x14ac:dyDescent="0.25">
      <c r="A1" s="186" t="s">
        <v>312</v>
      </c>
    </row>
    <row r="2" spans="1:18" ht="13.5" thickBot="1" x14ac:dyDescent="0.25">
      <c r="A2" s="388" t="s">
        <v>346</v>
      </c>
    </row>
    <row r="3" spans="1:18" ht="32.25" customHeight="1" x14ac:dyDescent="0.2">
      <c r="A3" s="203"/>
      <c r="B3" s="203">
        <v>2015</v>
      </c>
      <c r="C3" s="203">
        <v>2016</v>
      </c>
      <c r="D3" s="203">
        <v>2017</v>
      </c>
      <c r="E3" s="203">
        <v>2018</v>
      </c>
      <c r="F3" s="203">
        <v>2019</v>
      </c>
      <c r="G3" s="227">
        <v>2020</v>
      </c>
      <c r="H3" s="227">
        <v>2021</v>
      </c>
      <c r="I3" s="228" t="s">
        <v>282</v>
      </c>
      <c r="J3" s="229"/>
      <c r="K3" s="203"/>
      <c r="L3" s="203">
        <v>2019</v>
      </c>
      <c r="M3" s="203">
        <v>2020</v>
      </c>
      <c r="N3" s="203">
        <v>2021</v>
      </c>
    </row>
    <row r="4" spans="1:18" ht="15" x14ac:dyDescent="0.25">
      <c r="A4" s="187" t="s">
        <v>209</v>
      </c>
      <c r="B4" s="188">
        <v>43936.21</v>
      </c>
      <c r="C4" s="188">
        <v>43827.77</v>
      </c>
      <c r="D4" s="188">
        <v>44210.62</v>
      </c>
      <c r="E4" s="188">
        <v>45473.8</v>
      </c>
      <c r="F4" s="188">
        <v>44857.48</v>
      </c>
      <c r="G4" s="188">
        <v>40655</v>
      </c>
      <c r="H4" s="188">
        <v>49140</v>
      </c>
      <c r="I4" s="189">
        <f>H4/SUM($H$4:$H$9)</f>
        <v>0.16346272191711103</v>
      </c>
      <c r="J4" s="205"/>
      <c r="K4" s="187" t="s">
        <v>222</v>
      </c>
      <c r="L4" s="188">
        <v>45013.39</v>
      </c>
      <c r="M4" s="188">
        <v>40914</v>
      </c>
      <c r="N4" s="188">
        <v>49276</v>
      </c>
    </row>
    <row r="5" spans="1:18" ht="15" x14ac:dyDescent="0.25">
      <c r="A5" s="187" t="s">
        <v>175</v>
      </c>
      <c r="B5" s="188">
        <v>9655.6059999999998</v>
      </c>
      <c r="C5" s="188">
        <v>9821.5840000000007</v>
      </c>
      <c r="D5" s="188">
        <v>9842.4560000000001</v>
      </c>
      <c r="E5" s="188">
        <v>9684.2119999999995</v>
      </c>
      <c r="F5" s="188">
        <v>9492.5339999999997</v>
      </c>
      <c r="G5" s="188">
        <v>8531</v>
      </c>
      <c r="H5" s="188">
        <v>9012</v>
      </c>
      <c r="I5" s="189">
        <f t="shared" ref="I5:I9" si="0">H5/SUM($H$4:$H$9)</f>
        <v>2.9978145093956136E-2</v>
      </c>
      <c r="J5" s="205"/>
      <c r="K5" s="187" t="s">
        <v>175</v>
      </c>
      <c r="L5" s="188">
        <v>9336.6209999999992</v>
      </c>
      <c r="M5" s="188">
        <v>8272</v>
      </c>
      <c r="N5" s="188">
        <v>8877</v>
      </c>
    </row>
    <row r="6" spans="1:18" ht="15" x14ac:dyDescent="0.25">
      <c r="A6" s="187" t="s">
        <v>210</v>
      </c>
      <c r="B6" s="188">
        <v>57361.63</v>
      </c>
      <c r="C6" s="188">
        <v>59665.86</v>
      </c>
      <c r="D6" s="188">
        <v>63550.2</v>
      </c>
      <c r="E6" s="188">
        <v>64588.9</v>
      </c>
      <c r="F6" s="188">
        <v>67742.490000000005</v>
      </c>
      <c r="G6" s="188">
        <v>62837</v>
      </c>
      <c r="H6" s="188">
        <v>66914</v>
      </c>
      <c r="I6" s="189">
        <f t="shared" si="0"/>
        <v>0.22258739467565258</v>
      </c>
      <c r="J6" s="205"/>
      <c r="K6" s="187" t="s">
        <v>210</v>
      </c>
      <c r="L6" s="188">
        <v>67742.490000000005</v>
      </c>
      <c r="M6" s="188">
        <v>62837</v>
      </c>
      <c r="N6" s="188">
        <v>66914</v>
      </c>
    </row>
    <row r="7" spans="1:18" ht="15" x14ac:dyDescent="0.25">
      <c r="A7" s="187" t="s">
        <v>211</v>
      </c>
      <c r="B7" s="188">
        <v>58409.26</v>
      </c>
      <c r="C7" s="188">
        <v>63213.32</v>
      </c>
      <c r="D7" s="188">
        <v>70076.789999999994</v>
      </c>
      <c r="E7" s="188">
        <v>73359.58</v>
      </c>
      <c r="F7" s="188">
        <v>73012.45</v>
      </c>
      <c r="G7" s="188">
        <v>72964</v>
      </c>
      <c r="H7" s="188">
        <v>76382</v>
      </c>
      <c r="I7" s="189">
        <f t="shared" si="0"/>
        <v>0.25408240996078091</v>
      </c>
      <c r="J7" s="205"/>
      <c r="K7" s="187" t="s">
        <v>211</v>
      </c>
      <c r="L7" s="188">
        <v>73012.45</v>
      </c>
      <c r="M7" s="188">
        <v>72964</v>
      </c>
      <c r="N7" s="188">
        <v>76382</v>
      </c>
    </row>
    <row r="8" spans="1:18" ht="15" x14ac:dyDescent="0.25">
      <c r="A8" s="187" t="s">
        <v>283</v>
      </c>
      <c r="B8" s="188">
        <v>48160.33</v>
      </c>
      <c r="C8" s="188">
        <v>51224.83</v>
      </c>
      <c r="D8" s="188">
        <v>55782.85</v>
      </c>
      <c r="E8" s="188">
        <v>61008.19</v>
      </c>
      <c r="F8" s="188">
        <v>65201.74</v>
      </c>
      <c r="G8" s="188">
        <v>68457</v>
      </c>
      <c r="H8" s="188">
        <v>72770</v>
      </c>
      <c r="I8" s="189">
        <f t="shared" si="0"/>
        <v>0.24206720134123258</v>
      </c>
      <c r="J8" s="205"/>
      <c r="K8" s="187" t="s">
        <v>212</v>
      </c>
      <c r="L8" s="188">
        <v>65201.74</v>
      </c>
      <c r="M8" s="188">
        <v>68457</v>
      </c>
      <c r="N8" s="188">
        <v>72769.69</v>
      </c>
    </row>
    <row r="9" spans="1:18" ht="15" x14ac:dyDescent="0.25">
      <c r="A9" s="187" t="s">
        <v>116</v>
      </c>
      <c r="B9" s="188">
        <v>23143.7</v>
      </c>
      <c r="C9" s="188">
        <v>23746.49</v>
      </c>
      <c r="D9" s="188">
        <v>24887.11</v>
      </c>
      <c r="E9" s="188">
        <v>26571.35</v>
      </c>
      <c r="F9" s="188">
        <v>27268.400000000001</v>
      </c>
      <c r="G9" s="188">
        <v>22562</v>
      </c>
      <c r="H9" s="188">
        <v>26401</v>
      </c>
      <c r="I9" s="189">
        <f t="shared" si="0"/>
        <v>8.7822127011266751E-2</v>
      </c>
      <c r="J9" s="205"/>
      <c r="K9" s="187" t="s">
        <v>116</v>
      </c>
      <c r="L9" s="188">
        <v>27268.400000000001</v>
      </c>
      <c r="M9" s="188">
        <v>22562</v>
      </c>
      <c r="N9" s="188">
        <v>26401</v>
      </c>
    </row>
    <row r="10" spans="1:18" ht="15" x14ac:dyDescent="0.25">
      <c r="A10" s="187" t="s">
        <v>213</v>
      </c>
      <c r="B10" s="211">
        <v>244078</v>
      </c>
      <c r="C10" s="211">
        <v>254738</v>
      </c>
      <c r="D10" s="211">
        <v>270463</v>
      </c>
      <c r="E10" s="211">
        <v>283720</v>
      </c>
      <c r="F10" s="211">
        <v>290470</v>
      </c>
      <c r="G10" s="211">
        <v>278278</v>
      </c>
      <c r="H10" s="211">
        <v>302863</v>
      </c>
      <c r="I10" s="212">
        <f>SUM(I4:I9)</f>
        <v>1</v>
      </c>
      <c r="J10" s="205"/>
      <c r="K10" s="187" t="s">
        <v>213</v>
      </c>
      <c r="L10" s="211">
        <v>290470</v>
      </c>
      <c r="M10" s="211">
        <v>278278</v>
      </c>
      <c r="N10" s="211">
        <v>302863</v>
      </c>
    </row>
    <row r="11" spans="1:18" ht="17.25" customHeight="1" x14ac:dyDescent="0.2">
      <c r="A11" s="197" t="s">
        <v>219</v>
      </c>
      <c r="B11" s="184"/>
      <c r="C11" s="184"/>
      <c r="D11" s="184"/>
      <c r="E11" s="184"/>
      <c r="F11" s="184"/>
      <c r="G11" s="184"/>
      <c r="H11" s="184"/>
      <c r="I11" s="184"/>
      <c r="J11" s="206"/>
      <c r="K11" s="436" t="s">
        <v>224</v>
      </c>
      <c r="L11" s="436"/>
      <c r="M11" s="436"/>
      <c r="N11" s="208"/>
      <c r="O11" s="208"/>
      <c r="P11" s="208"/>
      <c r="Q11" s="208"/>
      <c r="R11" s="208"/>
    </row>
    <row r="12" spans="1:18" ht="26.25" customHeight="1" x14ac:dyDescent="0.2">
      <c r="A12" s="418" t="s">
        <v>274</v>
      </c>
      <c r="B12" s="418"/>
      <c r="C12" s="418"/>
      <c r="D12" s="418"/>
      <c r="E12" s="418"/>
      <c r="F12" s="418"/>
      <c r="G12" s="418"/>
      <c r="H12" s="418"/>
      <c r="I12" s="418"/>
      <c r="J12" s="297"/>
      <c r="K12" s="418"/>
      <c r="L12" s="418"/>
      <c r="M12" s="418"/>
      <c r="N12" s="297"/>
      <c r="O12" s="225"/>
      <c r="P12" s="225"/>
      <c r="Q12" s="225"/>
      <c r="R12" s="225"/>
    </row>
    <row r="13" spans="1:18" ht="18.75" customHeight="1" thickBot="1" x14ac:dyDescent="0.25">
      <c r="G13" s="198" t="s">
        <v>220</v>
      </c>
      <c r="H13" s="198"/>
      <c r="I13" s="190"/>
      <c r="J13" s="207"/>
      <c r="K13" s="200"/>
      <c r="L13" s="200"/>
      <c r="M13" s="200"/>
      <c r="N13" s="200"/>
      <c r="O13" s="200"/>
      <c r="P13" s="200"/>
      <c r="Q13" s="200"/>
      <c r="R13" s="200"/>
    </row>
    <row r="14" spans="1:18" ht="25.5" x14ac:dyDescent="0.2">
      <c r="A14" s="230"/>
      <c r="B14" s="203" t="s">
        <v>204</v>
      </c>
      <c r="C14" s="203" t="s">
        <v>205</v>
      </c>
      <c r="D14" s="203" t="s">
        <v>206</v>
      </c>
      <c r="E14" s="203" t="s">
        <v>207</v>
      </c>
      <c r="F14" s="203" t="s">
        <v>236</v>
      </c>
      <c r="G14" s="203" t="s">
        <v>284</v>
      </c>
      <c r="H14" s="203" t="s">
        <v>208</v>
      </c>
      <c r="K14" s="203"/>
      <c r="L14" s="203" t="s">
        <v>284</v>
      </c>
    </row>
    <row r="15" spans="1:18" ht="15" x14ac:dyDescent="0.25">
      <c r="A15" s="187" t="s">
        <v>209</v>
      </c>
      <c r="B15" s="4">
        <f t="shared" ref="B15:G21" si="1">100*(C4-B4)/B4</f>
        <v>-0.24681236729340636</v>
      </c>
      <c r="C15" s="4">
        <f t="shared" si="1"/>
        <v>0.87353292216329015</v>
      </c>
      <c r="D15" s="4">
        <f t="shared" si="1"/>
        <v>2.8571868026279663</v>
      </c>
      <c r="E15" s="4">
        <f t="shared" si="1"/>
        <v>-1.3553298822618731</v>
      </c>
      <c r="F15" s="4">
        <f t="shared" si="1"/>
        <v>-9.3685155742141628</v>
      </c>
      <c r="G15" s="4">
        <f t="shared" si="1"/>
        <v>20.8707416061985</v>
      </c>
      <c r="H15" s="4">
        <f>100*(H4-C4)/C4</f>
        <v>12.120694253894287</v>
      </c>
      <c r="K15" s="187" t="s">
        <v>222</v>
      </c>
      <c r="L15" s="4">
        <f>100*(N4-M4)/M4</f>
        <v>20.437991885418196</v>
      </c>
    </row>
    <row r="16" spans="1:18" ht="15" x14ac:dyDescent="0.25">
      <c r="A16" s="187" t="s">
        <v>175</v>
      </c>
      <c r="B16" s="4">
        <f t="shared" si="1"/>
        <v>1.7189806626326818</v>
      </c>
      <c r="C16" s="4">
        <f t="shared" si="1"/>
        <v>0.21251154599909125</v>
      </c>
      <c r="D16" s="4">
        <f t="shared" si="1"/>
        <v>-1.6077694429114096</v>
      </c>
      <c r="E16" s="4">
        <f t="shared" si="1"/>
        <v>-1.9792833944568737</v>
      </c>
      <c r="F16" s="4">
        <f t="shared" si="1"/>
        <v>-10.129371145786781</v>
      </c>
      <c r="G16" s="4">
        <f t="shared" si="1"/>
        <v>5.6382604618450358</v>
      </c>
      <c r="H16" s="4">
        <f t="shared" ref="H16:H21" si="2">100*(H5-C5)/C5</f>
        <v>-8.2429066431646945</v>
      </c>
      <c r="K16" s="187" t="s">
        <v>175</v>
      </c>
      <c r="L16" s="4">
        <f t="shared" ref="L16:L21" si="3">100*(N5-M5)/M5</f>
        <v>7.3138297872340425</v>
      </c>
    </row>
    <row r="17" spans="1:13" ht="15" x14ac:dyDescent="0.25">
      <c r="A17" s="187" t="s">
        <v>210</v>
      </c>
      <c r="B17" s="4">
        <f t="shared" si="1"/>
        <v>4.017023226153098</v>
      </c>
      <c r="C17" s="4">
        <f t="shared" si="1"/>
        <v>6.5101550534928965</v>
      </c>
      <c r="D17" s="4">
        <f t="shared" si="1"/>
        <v>1.6344559104456073</v>
      </c>
      <c r="E17" s="4">
        <f t="shared" si="1"/>
        <v>4.8825572195841751</v>
      </c>
      <c r="F17" s="4">
        <f t="shared" si="1"/>
        <v>-7.2413783431934737</v>
      </c>
      <c r="G17" s="4">
        <f t="shared" si="1"/>
        <v>6.4882155417986223</v>
      </c>
      <c r="H17" s="4">
        <f t="shared" si="2"/>
        <v>12.147884904365746</v>
      </c>
      <c r="K17" s="187" t="s">
        <v>210</v>
      </c>
      <c r="L17" s="4">
        <f t="shared" si="3"/>
        <v>6.4882155417986223</v>
      </c>
    </row>
    <row r="18" spans="1:13" ht="15" x14ac:dyDescent="0.25">
      <c r="A18" s="187" t="s">
        <v>211</v>
      </c>
      <c r="B18" s="4">
        <f t="shared" si="1"/>
        <v>8.2248259950562588</v>
      </c>
      <c r="C18" s="4">
        <f t="shared" si="1"/>
        <v>10.85763253693999</v>
      </c>
      <c r="D18" s="4">
        <f t="shared" si="1"/>
        <v>4.6845610365429247</v>
      </c>
      <c r="E18" s="4">
        <f t="shared" si="1"/>
        <v>-0.47318973200228881</v>
      </c>
      <c r="F18" s="4">
        <f t="shared" si="1"/>
        <v>-6.635854570007868E-2</v>
      </c>
      <c r="G18" s="4">
        <f t="shared" si="1"/>
        <v>4.6845019461652324</v>
      </c>
      <c r="H18" s="4">
        <f t="shared" si="2"/>
        <v>20.832128418504201</v>
      </c>
      <c r="K18" s="187" t="s">
        <v>211</v>
      </c>
      <c r="L18" s="4">
        <f t="shared" si="3"/>
        <v>4.6845019461652324</v>
      </c>
    </row>
    <row r="19" spans="1:13" ht="15" x14ac:dyDescent="0.25">
      <c r="A19" s="187" t="s">
        <v>283</v>
      </c>
      <c r="B19" s="4">
        <f t="shared" si="1"/>
        <v>6.363120850708456</v>
      </c>
      <c r="C19" s="4">
        <f t="shared" si="1"/>
        <v>8.8980675972960697</v>
      </c>
      <c r="D19" s="4">
        <f t="shared" si="1"/>
        <v>9.3672876161759451</v>
      </c>
      <c r="E19" s="4">
        <f t="shared" si="1"/>
        <v>6.8737492457979741</v>
      </c>
      <c r="F19" s="4">
        <f t="shared" si="1"/>
        <v>4.9925968233363136</v>
      </c>
      <c r="G19" s="4">
        <f t="shared" si="1"/>
        <v>6.3003053011379402</v>
      </c>
      <c r="H19" s="4">
        <f t="shared" si="2"/>
        <v>42.060012693063108</v>
      </c>
      <c r="K19" s="187" t="s">
        <v>212</v>
      </c>
      <c r="L19" s="4">
        <f t="shared" si="3"/>
        <v>6.2998524621295156</v>
      </c>
    </row>
    <row r="20" spans="1:13" ht="15" x14ac:dyDescent="0.25">
      <c r="A20" s="187" t="s">
        <v>116</v>
      </c>
      <c r="B20" s="4">
        <f t="shared" si="1"/>
        <v>2.6045532909603946</v>
      </c>
      <c r="C20" s="4">
        <f t="shared" si="1"/>
        <v>4.8033204065105997</v>
      </c>
      <c r="D20" s="4">
        <f t="shared" si="1"/>
        <v>6.7675194106507259</v>
      </c>
      <c r="E20" s="4">
        <f t="shared" si="1"/>
        <v>2.623314208724822</v>
      </c>
      <c r="F20" s="4">
        <f t="shared" si="1"/>
        <v>-17.259538513444138</v>
      </c>
      <c r="G20" s="4">
        <f t="shared" si="1"/>
        <v>17.015335519900717</v>
      </c>
      <c r="H20" s="4">
        <f t="shared" si="2"/>
        <v>11.178536280519765</v>
      </c>
      <c r="K20" s="187" t="s">
        <v>116</v>
      </c>
      <c r="L20" s="4">
        <f t="shared" si="3"/>
        <v>17.015335519900717</v>
      </c>
    </row>
    <row r="21" spans="1:13" ht="15" x14ac:dyDescent="0.25">
      <c r="A21" s="187" t="s">
        <v>213</v>
      </c>
      <c r="B21" s="201">
        <f t="shared" si="1"/>
        <v>4.3674563049516957</v>
      </c>
      <c r="C21" s="201">
        <f t="shared" si="1"/>
        <v>6.1730091309502315</v>
      </c>
      <c r="D21" s="201">
        <f t="shared" si="1"/>
        <v>4.9015946728387982</v>
      </c>
      <c r="E21" s="201">
        <f t="shared" si="1"/>
        <v>2.3791061610038065</v>
      </c>
      <c r="F21" s="201">
        <f t="shared" si="1"/>
        <v>-4.1973353530485076</v>
      </c>
      <c r="G21" s="201">
        <f t="shared" si="1"/>
        <v>8.8346904893667482</v>
      </c>
      <c r="H21" s="201">
        <f t="shared" si="2"/>
        <v>18.891959582001899</v>
      </c>
      <c r="K21" s="187" t="s">
        <v>213</v>
      </c>
      <c r="L21" s="201">
        <f t="shared" si="3"/>
        <v>8.8346904893667482</v>
      </c>
    </row>
    <row r="22" spans="1:13" ht="57" customHeight="1" x14ac:dyDescent="0.2">
      <c r="A22" s="438"/>
      <c r="B22" s="438"/>
      <c r="C22" s="438"/>
      <c r="D22" s="438"/>
      <c r="E22" s="438"/>
      <c r="F22" s="438"/>
      <c r="G22" s="231"/>
      <c r="H22" s="231"/>
      <c r="K22" s="437" t="s">
        <v>223</v>
      </c>
      <c r="L22" s="437"/>
      <c r="M22" s="210"/>
    </row>
    <row r="23" spans="1:13" ht="30" customHeight="1" x14ac:dyDescent="0.2">
      <c r="K23" s="209"/>
      <c r="L23" s="210"/>
      <c r="M23" s="210"/>
    </row>
  </sheetData>
  <mergeCells count="4">
    <mergeCell ref="K11:M12"/>
    <mergeCell ref="A12:I12"/>
    <mergeCell ref="K22:L22"/>
    <mergeCell ref="A22:F22"/>
  </mergeCells>
  <hyperlinks>
    <hyperlink ref="A2" location="Sommaire!A2"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topLeftCell="A22" zoomScaleNormal="100" workbookViewId="0">
      <selection activeCell="A21" sqref="A21:H21"/>
    </sheetView>
  </sheetViews>
  <sheetFormatPr baseColWidth="10" defaultRowHeight="12" x14ac:dyDescent="0.2"/>
  <cols>
    <col min="1" max="1" width="20.140625" style="87" customWidth="1"/>
    <col min="2" max="2" width="12.140625" style="87" customWidth="1"/>
    <col min="3" max="3" width="8.140625" style="87" customWidth="1"/>
    <col min="4" max="4" width="9.28515625" style="87" customWidth="1"/>
    <col min="5" max="6" width="16.42578125" style="87" customWidth="1"/>
    <col min="7" max="7" width="6" style="87" customWidth="1"/>
    <col min="8" max="9" width="16.42578125" style="87" customWidth="1"/>
    <col min="10" max="10" width="11.42578125" style="87" customWidth="1"/>
    <col min="11" max="254" width="11.42578125" style="87"/>
    <col min="255" max="255" width="20.140625" style="87" customWidth="1"/>
    <col min="256" max="256" width="9.7109375" style="87" customWidth="1"/>
    <col min="257" max="257" width="12.140625" style="87" customWidth="1"/>
    <col min="258" max="258" width="7.140625" style="87" customWidth="1"/>
    <col min="259" max="259" width="8.140625" style="87" customWidth="1"/>
    <col min="260" max="260" width="9.28515625" style="87" customWidth="1"/>
    <col min="261" max="262" width="16.42578125" style="87" customWidth="1"/>
    <col min="263" max="263" width="6" style="87" customWidth="1"/>
    <col min="264" max="265" width="16.42578125" style="87" customWidth="1"/>
    <col min="266" max="266" width="11.42578125" style="87" customWidth="1"/>
    <col min="267" max="510" width="11.42578125" style="87"/>
    <col min="511" max="511" width="20.140625" style="87" customWidth="1"/>
    <col min="512" max="512" width="9.7109375" style="87" customWidth="1"/>
    <col min="513" max="513" width="12.140625" style="87" customWidth="1"/>
    <col min="514" max="514" width="7.140625" style="87" customWidth="1"/>
    <col min="515" max="515" width="8.140625" style="87" customWidth="1"/>
    <col min="516" max="516" width="9.28515625" style="87" customWidth="1"/>
    <col min="517" max="518" width="16.42578125" style="87" customWidth="1"/>
    <col min="519" max="519" width="6" style="87" customWidth="1"/>
    <col min="520" max="521" width="16.42578125" style="87" customWidth="1"/>
    <col min="522" max="522" width="11.42578125" style="87" customWidth="1"/>
    <col min="523" max="766" width="11.42578125" style="87"/>
    <col min="767" max="767" width="20.140625" style="87" customWidth="1"/>
    <col min="768" max="768" width="9.7109375" style="87" customWidth="1"/>
    <col min="769" max="769" width="12.140625" style="87" customWidth="1"/>
    <col min="770" max="770" width="7.140625" style="87" customWidth="1"/>
    <col min="771" max="771" width="8.140625" style="87" customWidth="1"/>
    <col min="772" max="772" width="9.28515625" style="87" customWidth="1"/>
    <col min="773" max="774" width="16.42578125" style="87" customWidth="1"/>
    <col min="775" max="775" width="6" style="87" customWidth="1"/>
    <col min="776" max="777" width="16.42578125" style="87" customWidth="1"/>
    <col min="778" max="778" width="11.42578125" style="87" customWidth="1"/>
    <col min="779" max="1022" width="11.42578125" style="87"/>
    <col min="1023" max="1023" width="20.140625" style="87" customWidth="1"/>
    <col min="1024" max="1024" width="9.7109375" style="87" customWidth="1"/>
    <col min="1025" max="1025" width="12.140625" style="87" customWidth="1"/>
    <col min="1026" max="1026" width="7.140625" style="87" customWidth="1"/>
    <col min="1027" max="1027" width="8.140625" style="87" customWidth="1"/>
    <col min="1028" max="1028" width="9.28515625" style="87" customWidth="1"/>
    <col min="1029" max="1030" width="16.42578125" style="87" customWidth="1"/>
    <col min="1031" max="1031" width="6" style="87" customWidth="1"/>
    <col min="1032" max="1033" width="16.42578125" style="87" customWidth="1"/>
    <col min="1034" max="1034" width="11.42578125" style="87" customWidth="1"/>
    <col min="1035" max="1278" width="11.42578125" style="87"/>
    <col min="1279" max="1279" width="20.140625" style="87" customWidth="1"/>
    <col min="1280" max="1280" width="9.7109375" style="87" customWidth="1"/>
    <col min="1281" max="1281" width="12.140625" style="87" customWidth="1"/>
    <col min="1282" max="1282" width="7.140625" style="87" customWidth="1"/>
    <col min="1283" max="1283" width="8.140625" style="87" customWidth="1"/>
    <col min="1284" max="1284" width="9.28515625" style="87" customWidth="1"/>
    <col min="1285" max="1286" width="16.42578125" style="87" customWidth="1"/>
    <col min="1287" max="1287" width="6" style="87" customWidth="1"/>
    <col min="1288" max="1289" width="16.42578125" style="87" customWidth="1"/>
    <col min="1290" max="1290" width="11.42578125" style="87" customWidth="1"/>
    <col min="1291" max="1534" width="11.42578125" style="87"/>
    <col min="1535" max="1535" width="20.140625" style="87" customWidth="1"/>
    <col min="1536" max="1536" width="9.7109375" style="87" customWidth="1"/>
    <col min="1537" max="1537" width="12.140625" style="87" customWidth="1"/>
    <col min="1538" max="1538" width="7.140625" style="87" customWidth="1"/>
    <col min="1539" max="1539" width="8.140625" style="87" customWidth="1"/>
    <col min="1540" max="1540" width="9.28515625" style="87" customWidth="1"/>
    <col min="1541" max="1542" width="16.42578125" style="87" customWidth="1"/>
    <col min="1543" max="1543" width="6" style="87" customWidth="1"/>
    <col min="1544" max="1545" width="16.42578125" style="87" customWidth="1"/>
    <col min="1546" max="1546" width="11.42578125" style="87" customWidth="1"/>
    <col min="1547" max="1790" width="11.42578125" style="87"/>
    <col min="1791" max="1791" width="20.140625" style="87" customWidth="1"/>
    <col min="1792" max="1792" width="9.7109375" style="87" customWidth="1"/>
    <col min="1793" max="1793" width="12.140625" style="87" customWidth="1"/>
    <col min="1794" max="1794" width="7.140625" style="87" customWidth="1"/>
    <col min="1795" max="1795" width="8.140625" style="87" customWidth="1"/>
    <col min="1796" max="1796" width="9.28515625" style="87" customWidth="1"/>
    <col min="1797" max="1798" width="16.42578125" style="87" customWidth="1"/>
    <col min="1799" max="1799" width="6" style="87" customWidth="1"/>
    <col min="1800" max="1801" width="16.42578125" style="87" customWidth="1"/>
    <col min="1802" max="1802" width="11.42578125" style="87" customWidth="1"/>
    <col min="1803" max="2046" width="11.42578125" style="87"/>
    <col min="2047" max="2047" width="20.140625" style="87" customWidth="1"/>
    <col min="2048" max="2048" width="9.7109375" style="87" customWidth="1"/>
    <col min="2049" max="2049" width="12.140625" style="87" customWidth="1"/>
    <col min="2050" max="2050" width="7.140625" style="87" customWidth="1"/>
    <col min="2051" max="2051" width="8.140625" style="87" customWidth="1"/>
    <col min="2052" max="2052" width="9.28515625" style="87" customWidth="1"/>
    <col min="2053" max="2054" width="16.42578125" style="87" customWidth="1"/>
    <col min="2055" max="2055" width="6" style="87" customWidth="1"/>
    <col min="2056" max="2057" width="16.42578125" style="87" customWidth="1"/>
    <col min="2058" max="2058" width="11.42578125" style="87" customWidth="1"/>
    <col min="2059" max="2302" width="11.42578125" style="87"/>
    <col min="2303" max="2303" width="20.140625" style="87" customWidth="1"/>
    <col min="2304" max="2304" width="9.7109375" style="87" customWidth="1"/>
    <col min="2305" max="2305" width="12.140625" style="87" customWidth="1"/>
    <col min="2306" max="2306" width="7.140625" style="87" customWidth="1"/>
    <col min="2307" max="2307" width="8.140625" style="87" customWidth="1"/>
    <col min="2308" max="2308" width="9.28515625" style="87" customWidth="1"/>
    <col min="2309" max="2310" width="16.42578125" style="87" customWidth="1"/>
    <col min="2311" max="2311" width="6" style="87" customWidth="1"/>
    <col min="2312" max="2313" width="16.42578125" style="87" customWidth="1"/>
    <col min="2314" max="2314" width="11.42578125" style="87" customWidth="1"/>
    <col min="2315" max="2558" width="11.42578125" style="87"/>
    <col min="2559" max="2559" width="20.140625" style="87" customWidth="1"/>
    <col min="2560" max="2560" width="9.7109375" style="87" customWidth="1"/>
    <col min="2561" max="2561" width="12.140625" style="87" customWidth="1"/>
    <col min="2562" max="2562" width="7.140625" style="87" customWidth="1"/>
    <col min="2563" max="2563" width="8.140625" style="87" customWidth="1"/>
    <col min="2564" max="2564" width="9.28515625" style="87" customWidth="1"/>
    <col min="2565" max="2566" width="16.42578125" style="87" customWidth="1"/>
    <col min="2567" max="2567" width="6" style="87" customWidth="1"/>
    <col min="2568" max="2569" width="16.42578125" style="87" customWidth="1"/>
    <col min="2570" max="2570" width="11.42578125" style="87" customWidth="1"/>
    <col min="2571" max="2814" width="11.42578125" style="87"/>
    <col min="2815" max="2815" width="20.140625" style="87" customWidth="1"/>
    <col min="2816" max="2816" width="9.7109375" style="87" customWidth="1"/>
    <col min="2817" max="2817" width="12.140625" style="87" customWidth="1"/>
    <col min="2818" max="2818" width="7.140625" style="87" customWidth="1"/>
    <col min="2819" max="2819" width="8.140625" style="87" customWidth="1"/>
    <col min="2820" max="2820" width="9.28515625" style="87" customWidth="1"/>
    <col min="2821" max="2822" width="16.42578125" style="87" customWidth="1"/>
    <col min="2823" max="2823" width="6" style="87" customWidth="1"/>
    <col min="2824" max="2825" width="16.42578125" style="87" customWidth="1"/>
    <col min="2826" max="2826" width="11.42578125" style="87" customWidth="1"/>
    <col min="2827" max="3070" width="11.42578125" style="87"/>
    <col min="3071" max="3071" width="20.140625" style="87" customWidth="1"/>
    <col min="3072" max="3072" width="9.7109375" style="87" customWidth="1"/>
    <col min="3073" max="3073" width="12.140625" style="87" customWidth="1"/>
    <col min="3074" max="3074" width="7.140625" style="87" customWidth="1"/>
    <col min="3075" max="3075" width="8.140625" style="87" customWidth="1"/>
    <col min="3076" max="3076" width="9.28515625" style="87" customWidth="1"/>
    <col min="3077" max="3078" width="16.42578125" style="87" customWidth="1"/>
    <col min="3079" max="3079" width="6" style="87" customWidth="1"/>
    <col min="3080" max="3081" width="16.42578125" style="87" customWidth="1"/>
    <col min="3082" max="3082" width="11.42578125" style="87" customWidth="1"/>
    <col min="3083" max="3326" width="11.42578125" style="87"/>
    <col min="3327" max="3327" width="20.140625" style="87" customWidth="1"/>
    <col min="3328" max="3328" width="9.7109375" style="87" customWidth="1"/>
    <col min="3329" max="3329" width="12.140625" style="87" customWidth="1"/>
    <col min="3330" max="3330" width="7.140625" style="87" customWidth="1"/>
    <col min="3331" max="3331" width="8.140625" style="87" customWidth="1"/>
    <col min="3332" max="3332" width="9.28515625" style="87" customWidth="1"/>
    <col min="3333" max="3334" width="16.42578125" style="87" customWidth="1"/>
    <col min="3335" max="3335" width="6" style="87" customWidth="1"/>
    <col min="3336" max="3337" width="16.42578125" style="87" customWidth="1"/>
    <col min="3338" max="3338" width="11.42578125" style="87" customWidth="1"/>
    <col min="3339" max="3582" width="11.42578125" style="87"/>
    <col min="3583" max="3583" width="20.140625" style="87" customWidth="1"/>
    <col min="3584" max="3584" width="9.7109375" style="87" customWidth="1"/>
    <col min="3585" max="3585" width="12.140625" style="87" customWidth="1"/>
    <col min="3586" max="3586" width="7.140625" style="87" customWidth="1"/>
    <col min="3587" max="3587" width="8.140625" style="87" customWidth="1"/>
    <col min="3588" max="3588" width="9.28515625" style="87" customWidth="1"/>
    <col min="3589" max="3590" width="16.42578125" style="87" customWidth="1"/>
    <col min="3591" max="3591" width="6" style="87" customWidth="1"/>
    <col min="3592" max="3593" width="16.42578125" style="87" customWidth="1"/>
    <col min="3594" max="3594" width="11.42578125" style="87" customWidth="1"/>
    <col min="3595" max="3838" width="11.42578125" style="87"/>
    <col min="3839" max="3839" width="20.140625" style="87" customWidth="1"/>
    <col min="3840" max="3840" width="9.7109375" style="87" customWidth="1"/>
    <col min="3841" max="3841" width="12.140625" style="87" customWidth="1"/>
    <col min="3842" max="3842" width="7.140625" style="87" customWidth="1"/>
    <col min="3843" max="3843" width="8.140625" style="87" customWidth="1"/>
    <col min="3844" max="3844" width="9.28515625" style="87" customWidth="1"/>
    <col min="3845" max="3846" width="16.42578125" style="87" customWidth="1"/>
    <col min="3847" max="3847" width="6" style="87" customWidth="1"/>
    <col min="3848" max="3849" width="16.42578125" style="87" customWidth="1"/>
    <col min="3850" max="3850" width="11.42578125" style="87" customWidth="1"/>
    <col min="3851" max="4094" width="11.42578125" style="87"/>
    <col min="4095" max="4095" width="20.140625" style="87" customWidth="1"/>
    <col min="4096" max="4096" width="9.7109375" style="87" customWidth="1"/>
    <col min="4097" max="4097" width="12.140625" style="87" customWidth="1"/>
    <col min="4098" max="4098" width="7.140625" style="87" customWidth="1"/>
    <col min="4099" max="4099" width="8.140625" style="87" customWidth="1"/>
    <col min="4100" max="4100" width="9.28515625" style="87" customWidth="1"/>
    <col min="4101" max="4102" width="16.42578125" style="87" customWidth="1"/>
    <col min="4103" max="4103" width="6" style="87" customWidth="1"/>
    <col min="4104" max="4105" width="16.42578125" style="87" customWidth="1"/>
    <col min="4106" max="4106" width="11.42578125" style="87" customWidth="1"/>
    <col min="4107" max="4350" width="11.42578125" style="87"/>
    <col min="4351" max="4351" width="20.140625" style="87" customWidth="1"/>
    <col min="4352" max="4352" width="9.7109375" style="87" customWidth="1"/>
    <col min="4353" max="4353" width="12.140625" style="87" customWidth="1"/>
    <col min="4354" max="4354" width="7.140625" style="87" customWidth="1"/>
    <col min="4355" max="4355" width="8.140625" style="87" customWidth="1"/>
    <col min="4356" max="4356" width="9.28515625" style="87" customWidth="1"/>
    <col min="4357" max="4358" width="16.42578125" style="87" customWidth="1"/>
    <col min="4359" max="4359" width="6" style="87" customWidth="1"/>
    <col min="4360" max="4361" width="16.42578125" style="87" customWidth="1"/>
    <col min="4362" max="4362" width="11.42578125" style="87" customWidth="1"/>
    <col min="4363" max="4606" width="11.42578125" style="87"/>
    <col min="4607" max="4607" width="20.140625" style="87" customWidth="1"/>
    <col min="4608" max="4608" width="9.7109375" style="87" customWidth="1"/>
    <col min="4609" max="4609" width="12.140625" style="87" customWidth="1"/>
    <col min="4610" max="4610" width="7.140625" style="87" customWidth="1"/>
    <col min="4611" max="4611" width="8.140625" style="87" customWidth="1"/>
    <col min="4612" max="4612" width="9.28515625" style="87" customWidth="1"/>
    <col min="4613" max="4614" width="16.42578125" style="87" customWidth="1"/>
    <col min="4615" max="4615" width="6" style="87" customWidth="1"/>
    <col min="4616" max="4617" width="16.42578125" style="87" customWidth="1"/>
    <col min="4618" max="4618" width="11.42578125" style="87" customWidth="1"/>
    <col min="4619" max="4862" width="11.42578125" style="87"/>
    <col min="4863" max="4863" width="20.140625" style="87" customWidth="1"/>
    <col min="4864" max="4864" width="9.7109375" style="87" customWidth="1"/>
    <col min="4865" max="4865" width="12.140625" style="87" customWidth="1"/>
    <col min="4866" max="4866" width="7.140625" style="87" customWidth="1"/>
    <col min="4867" max="4867" width="8.140625" style="87" customWidth="1"/>
    <col min="4868" max="4868" width="9.28515625" style="87" customWidth="1"/>
    <col min="4869" max="4870" width="16.42578125" style="87" customWidth="1"/>
    <col min="4871" max="4871" width="6" style="87" customWidth="1"/>
    <col min="4872" max="4873" width="16.42578125" style="87" customWidth="1"/>
    <col min="4874" max="4874" width="11.42578125" style="87" customWidth="1"/>
    <col min="4875" max="5118" width="11.42578125" style="87"/>
    <col min="5119" max="5119" width="20.140625" style="87" customWidth="1"/>
    <col min="5120" max="5120" width="9.7109375" style="87" customWidth="1"/>
    <col min="5121" max="5121" width="12.140625" style="87" customWidth="1"/>
    <col min="5122" max="5122" width="7.140625" style="87" customWidth="1"/>
    <col min="5123" max="5123" width="8.140625" style="87" customWidth="1"/>
    <col min="5124" max="5124" width="9.28515625" style="87" customWidth="1"/>
    <col min="5125" max="5126" width="16.42578125" style="87" customWidth="1"/>
    <col min="5127" max="5127" width="6" style="87" customWidth="1"/>
    <col min="5128" max="5129" width="16.42578125" style="87" customWidth="1"/>
    <col min="5130" max="5130" width="11.42578125" style="87" customWidth="1"/>
    <col min="5131" max="5374" width="11.42578125" style="87"/>
    <col min="5375" max="5375" width="20.140625" style="87" customWidth="1"/>
    <col min="5376" max="5376" width="9.7109375" style="87" customWidth="1"/>
    <col min="5377" max="5377" width="12.140625" style="87" customWidth="1"/>
    <col min="5378" max="5378" width="7.140625" style="87" customWidth="1"/>
    <col min="5379" max="5379" width="8.140625" style="87" customWidth="1"/>
    <col min="5380" max="5380" width="9.28515625" style="87" customWidth="1"/>
    <col min="5381" max="5382" width="16.42578125" style="87" customWidth="1"/>
    <col min="5383" max="5383" width="6" style="87" customWidth="1"/>
    <col min="5384" max="5385" width="16.42578125" style="87" customWidth="1"/>
    <col min="5386" max="5386" width="11.42578125" style="87" customWidth="1"/>
    <col min="5387" max="5630" width="11.42578125" style="87"/>
    <col min="5631" max="5631" width="20.140625" style="87" customWidth="1"/>
    <col min="5632" max="5632" width="9.7109375" style="87" customWidth="1"/>
    <col min="5633" max="5633" width="12.140625" style="87" customWidth="1"/>
    <col min="5634" max="5634" width="7.140625" style="87" customWidth="1"/>
    <col min="5635" max="5635" width="8.140625" style="87" customWidth="1"/>
    <col min="5636" max="5636" width="9.28515625" style="87" customWidth="1"/>
    <col min="5637" max="5638" width="16.42578125" style="87" customWidth="1"/>
    <col min="5639" max="5639" width="6" style="87" customWidth="1"/>
    <col min="5640" max="5641" width="16.42578125" style="87" customWidth="1"/>
    <col min="5642" max="5642" width="11.42578125" style="87" customWidth="1"/>
    <col min="5643" max="5886" width="11.42578125" style="87"/>
    <col min="5887" max="5887" width="20.140625" style="87" customWidth="1"/>
    <col min="5888" max="5888" width="9.7109375" style="87" customWidth="1"/>
    <col min="5889" max="5889" width="12.140625" style="87" customWidth="1"/>
    <col min="5890" max="5890" width="7.140625" style="87" customWidth="1"/>
    <col min="5891" max="5891" width="8.140625" style="87" customWidth="1"/>
    <col min="5892" max="5892" width="9.28515625" style="87" customWidth="1"/>
    <col min="5893" max="5894" width="16.42578125" style="87" customWidth="1"/>
    <col min="5895" max="5895" width="6" style="87" customWidth="1"/>
    <col min="5896" max="5897" width="16.42578125" style="87" customWidth="1"/>
    <col min="5898" max="5898" width="11.42578125" style="87" customWidth="1"/>
    <col min="5899" max="6142" width="11.42578125" style="87"/>
    <col min="6143" max="6143" width="20.140625" style="87" customWidth="1"/>
    <col min="6144" max="6144" width="9.7109375" style="87" customWidth="1"/>
    <col min="6145" max="6145" width="12.140625" style="87" customWidth="1"/>
    <col min="6146" max="6146" width="7.140625" style="87" customWidth="1"/>
    <col min="6147" max="6147" width="8.140625" style="87" customWidth="1"/>
    <col min="6148" max="6148" width="9.28515625" style="87" customWidth="1"/>
    <col min="6149" max="6150" width="16.42578125" style="87" customWidth="1"/>
    <col min="6151" max="6151" width="6" style="87" customWidth="1"/>
    <col min="6152" max="6153" width="16.42578125" style="87" customWidth="1"/>
    <col min="6154" max="6154" width="11.42578125" style="87" customWidth="1"/>
    <col min="6155" max="6398" width="11.42578125" style="87"/>
    <col min="6399" max="6399" width="20.140625" style="87" customWidth="1"/>
    <col min="6400" max="6400" width="9.7109375" style="87" customWidth="1"/>
    <col min="6401" max="6401" width="12.140625" style="87" customWidth="1"/>
    <col min="6402" max="6402" width="7.140625" style="87" customWidth="1"/>
    <col min="6403" max="6403" width="8.140625" style="87" customWidth="1"/>
    <col min="6404" max="6404" width="9.28515625" style="87" customWidth="1"/>
    <col min="6405" max="6406" width="16.42578125" style="87" customWidth="1"/>
    <col min="6407" max="6407" width="6" style="87" customWidth="1"/>
    <col min="6408" max="6409" width="16.42578125" style="87" customWidth="1"/>
    <col min="6410" max="6410" width="11.42578125" style="87" customWidth="1"/>
    <col min="6411" max="6654" width="11.42578125" style="87"/>
    <col min="6655" max="6655" width="20.140625" style="87" customWidth="1"/>
    <col min="6656" max="6656" width="9.7109375" style="87" customWidth="1"/>
    <col min="6657" max="6657" width="12.140625" style="87" customWidth="1"/>
    <col min="6658" max="6658" width="7.140625" style="87" customWidth="1"/>
    <col min="6659" max="6659" width="8.140625" style="87" customWidth="1"/>
    <col min="6660" max="6660" width="9.28515625" style="87" customWidth="1"/>
    <col min="6661" max="6662" width="16.42578125" style="87" customWidth="1"/>
    <col min="6663" max="6663" width="6" style="87" customWidth="1"/>
    <col min="6664" max="6665" width="16.42578125" style="87" customWidth="1"/>
    <col min="6666" max="6666" width="11.42578125" style="87" customWidth="1"/>
    <col min="6667" max="6910" width="11.42578125" style="87"/>
    <col min="6911" max="6911" width="20.140625" style="87" customWidth="1"/>
    <col min="6912" max="6912" width="9.7109375" style="87" customWidth="1"/>
    <col min="6913" max="6913" width="12.140625" style="87" customWidth="1"/>
    <col min="6914" max="6914" width="7.140625" style="87" customWidth="1"/>
    <col min="6915" max="6915" width="8.140625" style="87" customWidth="1"/>
    <col min="6916" max="6916" width="9.28515625" style="87" customWidth="1"/>
    <col min="6917" max="6918" width="16.42578125" style="87" customWidth="1"/>
    <col min="6919" max="6919" width="6" style="87" customWidth="1"/>
    <col min="6920" max="6921" width="16.42578125" style="87" customWidth="1"/>
    <col min="6922" max="6922" width="11.42578125" style="87" customWidth="1"/>
    <col min="6923" max="7166" width="11.42578125" style="87"/>
    <col min="7167" max="7167" width="20.140625" style="87" customWidth="1"/>
    <col min="7168" max="7168" width="9.7109375" style="87" customWidth="1"/>
    <col min="7169" max="7169" width="12.140625" style="87" customWidth="1"/>
    <col min="7170" max="7170" width="7.140625" style="87" customWidth="1"/>
    <col min="7171" max="7171" width="8.140625" style="87" customWidth="1"/>
    <col min="7172" max="7172" width="9.28515625" style="87" customWidth="1"/>
    <col min="7173" max="7174" width="16.42578125" style="87" customWidth="1"/>
    <col min="7175" max="7175" width="6" style="87" customWidth="1"/>
    <col min="7176" max="7177" width="16.42578125" style="87" customWidth="1"/>
    <col min="7178" max="7178" width="11.42578125" style="87" customWidth="1"/>
    <col min="7179" max="7422" width="11.42578125" style="87"/>
    <col min="7423" max="7423" width="20.140625" style="87" customWidth="1"/>
    <col min="7424" max="7424" width="9.7109375" style="87" customWidth="1"/>
    <col min="7425" max="7425" width="12.140625" style="87" customWidth="1"/>
    <col min="7426" max="7426" width="7.140625" style="87" customWidth="1"/>
    <col min="7427" max="7427" width="8.140625" style="87" customWidth="1"/>
    <col min="7428" max="7428" width="9.28515625" style="87" customWidth="1"/>
    <col min="7429" max="7430" width="16.42578125" style="87" customWidth="1"/>
    <col min="7431" max="7431" width="6" style="87" customWidth="1"/>
    <col min="7432" max="7433" width="16.42578125" style="87" customWidth="1"/>
    <col min="7434" max="7434" width="11.42578125" style="87" customWidth="1"/>
    <col min="7435" max="7678" width="11.42578125" style="87"/>
    <col min="7679" max="7679" width="20.140625" style="87" customWidth="1"/>
    <col min="7680" max="7680" width="9.7109375" style="87" customWidth="1"/>
    <col min="7681" max="7681" width="12.140625" style="87" customWidth="1"/>
    <col min="7682" max="7682" width="7.140625" style="87" customWidth="1"/>
    <col min="7683" max="7683" width="8.140625" style="87" customWidth="1"/>
    <col min="7684" max="7684" width="9.28515625" style="87" customWidth="1"/>
    <col min="7685" max="7686" width="16.42578125" style="87" customWidth="1"/>
    <col min="7687" max="7687" width="6" style="87" customWidth="1"/>
    <col min="7688" max="7689" width="16.42578125" style="87" customWidth="1"/>
    <col min="7690" max="7690" width="11.42578125" style="87" customWidth="1"/>
    <col min="7691" max="7934" width="11.42578125" style="87"/>
    <col min="7935" max="7935" width="20.140625" style="87" customWidth="1"/>
    <col min="7936" max="7936" width="9.7109375" style="87" customWidth="1"/>
    <col min="7937" max="7937" width="12.140625" style="87" customWidth="1"/>
    <col min="7938" max="7938" width="7.140625" style="87" customWidth="1"/>
    <col min="7939" max="7939" width="8.140625" style="87" customWidth="1"/>
    <col min="7940" max="7940" width="9.28515625" style="87" customWidth="1"/>
    <col min="7941" max="7942" width="16.42578125" style="87" customWidth="1"/>
    <col min="7943" max="7943" width="6" style="87" customWidth="1"/>
    <col min="7944" max="7945" width="16.42578125" style="87" customWidth="1"/>
    <col min="7946" max="7946" width="11.42578125" style="87" customWidth="1"/>
    <col min="7947" max="8190" width="11.42578125" style="87"/>
    <col min="8191" max="8191" width="20.140625" style="87" customWidth="1"/>
    <col min="8192" max="8192" width="9.7109375" style="87" customWidth="1"/>
    <col min="8193" max="8193" width="12.140625" style="87" customWidth="1"/>
    <col min="8194" max="8194" width="7.140625" style="87" customWidth="1"/>
    <col min="8195" max="8195" width="8.140625" style="87" customWidth="1"/>
    <col min="8196" max="8196" width="9.28515625" style="87" customWidth="1"/>
    <col min="8197" max="8198" width="16.42578125" style="87" customWidth="1"/>
    <col min="8199" max="8199" width="6" style="87" customWidth="1"/>
    <col min="8200" max="8201" width="16.42578125" style="87" customWidth="1"/>
    <col min="8202" max="8202" width="11.42578125" style="87" customWidth="1"/>
    <col min="8203" max="8446" width="11.42578125" style="87"/>
    <col min="8447" max="8447" width="20.140625" style="87" customWidth="1"/>
    <col min="8448" max="8448" width="9.7109375" style="87" customWidth="1"/>
    <col min="8449" max="8449" width="12.140625" style="87" customWidth="1"/>
    <col min="8450" max="8450" width="7.140625" style="87" customWidth="1"/>
    <col min="8451" max="8451" width="8.140625" style="87" customWidth="1"/>
    <col min="8452" max="8452" width="9.28515625" style="87" customWidth="1"/>
    <col min="8453" max="8454" width="16.42578125" style="87" customWidth="1"/>
    <col min="8455" max="8455" width="6" style="87" customWidth="1"/>
    <col min="8456" max="8457" width="16.42578125" style="87" customWidth="1"/>
    <col min="8458" max="8458" width="11.42578125" style="87" customWidth="1"/>
    <col min="8459" max="8702" width="11.42578125" style="87"/>
    <col min="8703" max="8703" width="20.140625" style="87" customWidth="1"/>
    <col min="8704" max="8704" width="9.7109375" style="87" customWidth="1"/>
    <col min="8705" max="8705" width="12.140625" style="87" customWidth="1"/>
    <col min="8706" max="8706" width="7.140625" style="87" customWidth="1"/>
    <col min="8707" max="8707" width="8.140625" style="87" customWidth="1"/>
    <col min="8708" max="8708" width="9.28515625" style="87" customWidth="1"/>
    <col min="8709" max="8710" width="16.42578125" style="87" customWidth="1"/>
    <col min="8711" max="8711" width="6" style="87" customWidth="1"/>
    <col min="8712" max="8713" width="16.42578125" style="87" customWidth="1"/>
    <col min="8714" max="8714" width="11.42578125" style="87" customWidth="1"/>
    <col min="8715" max="8958" width="11.42578125" style="87"/>
    <col min="8959" max="8959" width="20.140625" style="87" customWidth="1"/>
    <col min="8960" max="8960" width="9.7109375" style="87" customWidth="1"/>
    <col min="8961" max="8961" width="12.140625" style="87" customWidth="1"/>
    <col min="8962" max="8962" width="7.140625" style="87" customWidth="1"/>
    <col min="8963" max="8963" width="8.140625" style="87" customWidth="1"/>
    <col min="8964" max="8964" width="9.28515625" style="87" customWidth="1"/>
    <col min="8965" max="8966" width="16.42578125" style="87" customWidth="1"/>
    <col min="8967" max="8967" width="6" style="87" customWidth="1"/>
    <col min="8968" max="8969" width="16.42578125" style="87" customWidth="1"/>
    <col min="8970" max="8970" width="11.42578125" style="87" customWidth="1"/>
    <col min="8971" max="9214" width="11.42578125" style="87"/>
    <col min="9215" max="9215" width="20.140625" style="87" customWidth="1"/>
    <col min="9216" max="9216" width="9.7109375" style="87" customWidth="1"/>
    <col min="9217" max="9217" width="12.140625" style="87" customWidth="1"/>
    <col min="9218" max="9218" width="7.140625" style="87" customWidth="1"/>
    <col min="9219" max="9219" width="8.140625" style="87" customWidth="1"/>
    <col min="9220" max="9220" width="9.28515625" style="87" customWidth="1"/>
    <col min="9221" max="9222" width="16.42578125" style="87" customWidth="1"/>
    <col min="9223" max="9223" width="6" style="87" customWidth="1"/>
    <col min="9224" max="9225" width="16.42578125" style="87" customWidth="1"/>
    <col min="9226" max="9226" width="11.42578125" style="87" customWidth="1"/>
    <col min="9227" max="9470" width="11.42578125" style="87"/>
    <col min="9471" max="9471" width="20.140625" style="87" customWidth="1"/>
    <col min="9472" max="9472" width="9.7109375" style="87" customWidth="1"/>
    <col min="9473" max="9473" width="12.140625" style="87" customWidth="1"/>
    <col min="9474" max="9474" width="7.140625" style="87" customWidth="1"/>
    <col min="9475" max="9475" width="8.140625" style="87" customWidth="1"/>
    <col min="9476" max="9476" width="9.28515625" style="87" customWidth="1"/>
    <col min="9477" max="9478" width="16.42578125" style="87" customWidth="1"/>
    <col min="9479" max="9479" width="6" style="87" customWidth="1"/>
    <col min="9480" max="9481" width="16.42578125" style="87" customWidth="1"/>
    <col min="9482" max="9482" width="11.42578125" style="87" customWidth="1"/>
    <col min="9483" max="9726" width="11.42578125" style="87"/>
    <col min="9727" max="9727" width="20.140625" style="87" customWidth="1"/>
    <col min="9728" max="9728" width="9.7109375" style="87" customWidth="1"/>
    <col min="9729" max="9729" width="12.140625" style="87" customWidth="1"/>
    <col min="9730" max="9730" width="7.140625" style="87" customWidth="1"/>
    <col min="9731" max="9731" width="8.140625" style="87" customWidth="1"/>
    <col min="9732" max="9732" width="9.28515625" style="87" customWidth="1"/>
    <col min="9733" max="9734" width="16.42578125" style="87" customWidth="1"/>
    <col min="9735" max="9735" width="6" style="87" customWidth="1"/>
    <col min="9736" max="9737" width="16.42578125" style="87" customWidth="1"/>
    <col min="9738" max="9738" width="11.42578125" style="87" customWidth="1"/>
    <col min="9739" max="9982" width="11.42578125" style="87"/>
    <col min="9983" max="9983" width="20.140625" style="87" customWidth="1"/>
    <col min="9984" max="9984" width="9.7109375" style="87" customWidth="1"/>
    <col min="9985" max="9985" width="12.140625" style="87" customWidth="1"/>
    <col min="9986" max="9986" width="7.140625" style="87" customWidth="1"/>
    <col min="9987" max="9987" width="8.140625" style="87" customWidth="1"/>
    <col min="9988" max="9988" width="9.28515625" style="87" customWidth="1"/>
    <col min="9989" max="9990" width="16.42578125" style="87" customWidth="1"/>
    <col min="9991" max="9991" width="6" style="87" customWidth="1"/>
    <col min="9992" max="9993" width="16.42578125" style="87" customWidth="1"/>
    <col min="9994" max="9994" width="11.42578125" style="87" customWidth="1"/>
    <col min="9995" max="10238" width="11.42578125" style="87"/>
    <col min="10239" max="10239" width="20.140625" style="87" customWidth="1"/>
    <col min="10240" max="10240" width="9.7109375" style="87" customWidth="1"/>
    <col min="10241" max="10241" width="12.140625" style="87" customWidth="1"/>
    <col min="10242" max="10242" width="7.140625" style="87" customWidth="1"/>
    <col min="10243" max="10243" width="8.140625" style="87" customWidth="1"/>
    <col min="10244" max="10244" width="9.28515625" style="87" customWidth="1"/>
    <col min="10245" max="10246" width="16.42578125" style="87" customWidth="1"/>
    <col min="10247" max="10247" width="6" style="87" customWidth="1"/>
    <col min="10248" max="10249" width="16.42578125" style="87" customWidth="1"/>
    <col min="10250" max="10250" width="11.42578125" style="87" customWidth="1"/>
    <col min="10251" max="10494" width="11.42578125" style="87"/>
    <col min="10495" max="10495" width="20.140625" style="87" customWidth="1"/>
    <col min="10496" max="10496" width="9.7109375" style="87" customWidth="1"/>
    <col min="10497" max="10497" width="12.140625" style="87" customWidth="1"/>
    <col min="10498" max="10498" width="7.140625" style="87" customWidth="1"/>
    <col min="10499" max="10499" width="8.140625" style="87" customWidth="1"/>
    <col min="10500" max="10500" width="9.28515625" style="87" customWidth="1"/>
    <col min="10501" max="10502" width="16.42578125" style="87" customWidth="1"/>
    <col min="10503" max="10503" width="6" style="87" customWidth="1"/>
    <col min="10504" max="10505" width="16.42578125" style="87" customWidth="1"/>
    <col min="10506" max="10506" width="11.42578125" style="87" customWidth="1"/>
    <col min="10507" max="10750" width="11.42578125" style="87"/>
    <col min="10751" max="10751" width="20.140625" style="87" customWidth="1"/>
    <col min="10752" max="10752" width="9.7109375" style="87" customWidth="1"/>
    <col min="10753" max="10753" width="12.140625" style="87" customWidth="1"/>
    <col min="10754" max="10754" width="7.140625" style="87" customWidth="1"/>
    <col min="10755" max="10755" width="8.140625" style="87" customWidth="1"/>
    <col min="10756" max="10756" width="9.28515625" style="87" customWidth="1"/>
    <col min="10757" max="10758" width="16.42578125" style="87" customWidth="1"/>
    <col min="10759" max="10759" width="6" style="87" customWidth="1"/>
    <col min="10760" max="10761" width="16.42578125" style="87" customWidth="1"/>
    <col min="10762" max="10762" width="11.42578125" style="87" customWidth="1"/>
    <col min="10763" max="11006" width="11.42578125" style="87"/>
    <col min="11007" max="11007" width="20.140625" style="87" customWidth="1"/>
    <col min="11008" max="11008" width="9.7109375" style="87" customWidth="1"/>
    <col min="11009" max="11009" width="12.140625" style="87" customWidth="1"/>
    <col min="11010" max="11010" width="7.140625" style="87" customWidth="1"/>
    <col min="11011" max="11011" width="8.140625" style="87" customWidth="1"/>
    <col min="11012" max="11012" width="9.28515625" style="87" customWidth="1"/>
    <col min="11013" max="11014" width="16.42578125" style="87" customWidth="1"/>
    <col min="11015" max="11015" width="6" style="87" customWidth="1"/>
    <col min="11016" max="11017" width="16.42578125" style="87" customWidth="1"/>
    <col min="11018" max="11018" width="11.42578125" style="87" customWidth="1"/>
    <col min="11019" max="11262" width="11.42578125" style="87"/>
    <col min="11263" max="11263" width="20.140625" style="87" customWidth="1"/>
    <col min="11264" max="11264" width="9.7109375" style="87" customWidth="1"/>
    <col min="11265" max="11265" width="12.140625" style="87" customWidth="1"/>
    <col min="11266" max="11266" width="7.140625" style="87" customWidth="1"/>
    <col min="11267" max="11267" width="8.140625" style="87" customWidth="1"/>
    <col min="11268" max="11268" width="9.28515625" style="87" customWidth="1"/>
    <col min="11269" max="11270" width="16.42578125" style="87" customWidth="1"/>
    <col min="11271" max="11271" width="6" style="87" customWidth="1"/>
    <col min="11272" max="11273" width="16.42578125" style="87" customWidth="1"/>
    <col min="11274" max="11274" width="11.42578125" style="87" customWidth="1"/>
    <col min="11275" max="11518" width="11.42578125" style="87"/>
    <col min="11519" max="11519" width="20.140625" style="87" customWidth="1"/>
    <col min="11520" max="11520" width="9.7109375" style="87" customWidth="1"/>
    <col min="11521" max="11521" width="12.140625" style="87" customWidth="1"/>
    <col min="11522" max="11522" width="7.140625" style="87" customWidth="1"/>
    <col min="11523" max="11523" width="8.140625" style="87" customWidth="1"/>
    <col min="11524" max="11524" width="9.28515625" style="87" customWidth="1"/>
    <col min="11525" max="11526" width="16.42578125" style="87" customWidth="1"/>
    <col min="11527" max="11527" width="6" style="87" customWidth="1"/>
    <col min="11528" max="11529" width="16.42578125" style="87" customWidth="1"/>
    <col min="11530" max="11530" width="11.42578125" style="87" customWidth="1"/>
    <col min="11531" max="11774" width="11.42578125" style="87"/>
    <col min="11775" max="11775" width="20.140625" style="87" customWidth="1"/>
    <col min="11776" max="11776" width="9.7109375" style="87" customWidth="1"/>
    <col min="11777" max="11777" width="12.140625" style="87" customWidth="1"/>
    <col min="11778" max="11778" width="7.140625" style="87" customWidth="1"/>
    <col min="11779" max="11779" width="8.140625" style="87" customWidth="1"/>
    <col min="11780" max="11780" width="9.28515625" style="87" customWidth="1"/>
    <col min="11781" max="11782" width="16.42578125" style="87" customWidth="1"/>
    <col min="11783" max="11783" width="6" style="87" customWidth="1"/>
    <col min="11784" max="11785" width="16.42578125" style="87" customWidth="1"/>
    <col min="11786" max="11786" width="11.42578125" style="87" customWidth="1"/>
    <col min="11787" max="12030" width="11.42578125" style="87"/>
    <col min="12031" max="12031" width="20.140625" style="87" customWidth="1"/>
    <col min="12032" max="12032" width="9.7109375" style="87" customWidth="1"/>
    <col min="12033" max="12033" width="12.140625" style="87" customWidth="1"/>
    <col min="12034" max="12034" width="7.140625" style="87" customWidth="1"/>
    <col min="12035" max="12035" width="8.140625" style="87" customWidth="1"/>
    <col min="12036" max="12036" width="9.28515625" style="87" customWidth="1"/>
    <col min="12037" max="12038" width="16.42578125" style="87" customWidth="1"/>
    <col min="12039" max="12039" width="6" style="87" customWidth="1"/>
    <col min="12040" max="12041" width="16.42578125" style="87" customWidth="1"/>
    <col min="12042" max="12042" width="11.42578125" style="87" customWidth="1"/>
    <col min="12043" max="12286" width="11.42578125" style="87"/>
    <col min="12287" max="12287" width="20.140625" style="87" customWidth="1"/>
    <col min="12288" max="12288" width="9.7109375" style="87" customWidth="1"/>
    <col min="12289" max="12289" width="12.140625" style="87" customWidth="1"/>
    <col min="12290" max="12290" width="7.140625" style="87" customWidth="1"/>
    <col min="12291" max="12291" width="8.140625" style="87" customWidth="1"/>
    <col min="12292" max="12292" width="9.28515625" style="87" customWidth="1"/>
    <col min="12293" max="12294" width="16.42578125" style="87" customWidth="1"/>
    <col min="12295" max="12295" width="6" style="87" customWidth="1"/>
    <col min="12296" max="12297" width="16.42578125" style="87" customWidth="1"/>
    <col min="12298" max="12298" width="11.42578125" style="87" customWidth="1"/>
    <col min="12299" max="12542" width="11.42578125" style="87"/>
    <col min="12543" max="12543" width="20.140625" style="87" customWidth="1"/>
    <col min="12544" max="12544" width="9.7109375" style="87" customWidth="1"/>
    <col min="12545" max="12545" width="12.140625" style="87" customWidth="1"/>
    <col min="12546" max="12546" width="7.140625" style="87" customWidth="1"/>
    <col min="12547" max="12547" width="8.140625" style="87" customWidth="1"/>
    <col min="12548" max="12548" width="9.28515625" style="87" customWidth="1"/>
    <col min="12549" max="12550" width="16.42578125" style="87" customWidth="1"/>
    <col min="12551" max="12551" width="6" style="87" customWidth="1"/>
    <col min="12552" max="12553" width="16.42578125" style="87" customWidth="1"/>
    <col min="12554" max="12554" width="11.42578125" style="87" customWidth="1"/>
    <col min="12555" max="12798" width="11.42578125" style="87"/>
    <col min="12799" max="12799" width="20.140625" style="87" customWidth="1"/>
    <col min="12800" max="12800" width="9.7109375" style="87" customWidth="1"/>
    <col min="12801" max="12801" width="12.140625" style="87" customWidth="1"/>
    <col min="12802" max="12802" width="7.140625" style="87" customWidth="1"/>
    <col min="12803" max="12803" width="8.140625" style="87" customWidth="1"/>
    <col min="12804" max="12804" width="9.28515625" style="87" customWidth="1"/>
    <col min="12805" max="12806" width="16.42578125" style="87" customWidth="1"/>
    <col min="12807" max="12807" width="6" style="87" customWidth="1"/>
    <col min="12808" max="12809" width="16.42578125" style="87" customWidth="1"/>
    <col min="12810" max="12810" width="11.42578125" style="87" customWidth="1"/>
    <col min="12811" max="13054" width="11.42578125" style="87"/>
    <col min="13055" max="13055" width="20.140625" style="87" customWidth="1"/>
    <col min="13056" max="13056" width="9.7109375" style="87" customWidth="1"/>
    <col min="13057" max="13057" width="12.140625" style="87" customWidth="1"/>
    <col min="13058" max="13058" width="7.140625" style="87" customWidth="1"/>
    <col min="13059" max="13059" width="8.140625" style="87" customWidth="1"/>
    <col min="13060" max="13060" width="9.28515625" style="87" customWidth="1"/>
    <col min="13061" max="13062" width="16.42578125" style="87" customWidth="1"/>
    <col min="13063" max="13063" width="6" style="87" customWidth="1"/>
    <col min="13064" max="13065" width="16.42578125" style="87" customWidth="1"/>
    <col min="13066" max="13066" width="11.42578125" style="87" customWidth="1"/>
    <col min="13067" max="13310" width="11.42578125" style="87"/>
    <col min="13311" max="13311" width="20.140625" style="87" customWidth="1"/>
    <col min="13312" max="13312" width="9.7109375" style="87" customWidth="1"/>
    <col min="13313" max="13313" width="12.140625" style="87" customWidth="1"/>
    <col min="13314" max="13314" width="7.140625" style="87" customWidth="1"/>
    <col min="13315" max="13315" width="8.140625" style="87" customWidth="1"/>
    <col min="13316" max="13316" width="9.28515625" style="87" customWidth="1"/>
    <col min="13317" max="13318" width="16.42578125" style="87" customWidth="1"/>
    <col min="13319" max="13319" width="6" style="87" customWidth="1"/>
    <col min="13320" max="13321" width="16.42578125" style="87" customWidth="1"/>
    <col min="13322" max="13322" width="11.42578125" style="87" customWidth="1"/>
    <col min="13323" max="13566" width="11.42578125" style="87"/>
    <col min="13567" max="13567" width="20.140625" style="87" customWidth="1"/>
    <col min="13568" max="13568" width="9.7109375" style="87" customWidth="1"/>
    <col min="13569" max="13569" width="12.140625" style="87" customWidth="1"/>
    <col min="13570" max="13570" width="7.140625" style="87" customWidth="1"/>
    <col min="13571" max="13571" width="8.140625" style="87" customWidth="1"/>
    <col min="13572" max="13572" width="9.28515625" style="87" customWidth="1"/>
    <col min="13573" max="13574" width="16.42578125" style="87" customWidth="1"/>
    <col min="13575" max="13575" width="6" style="87" customWidth="1"/>
    <col min="13576" max="13577" width="16.42578125" style="87" customWidth="1"/>
    <col min="13578" max="13578" width="11.42578125" style="87" customWidth="1"/>
    <col min="13579" max="13822" width="11.42578125" style="87"/>
    <col min="13823" max="13823" width="20.140625" style="87" customWidth="1"/>
    <col min="13824" max="13824" width="9.7109375" style="87" customWidth="1"/>
    <col min="13825" max="13825" width="12.140625" style="87" customWidth="1"/>
    <col min="13826" max="13826" width="7.140625" style="87" customWidth="1"/>
    <col min="13827" max="13827" width="8.140625" style="87" customWidth="1"/>
    <col min="13828" max="13828" width="9.28515625" style="87" customWidth="1"/>
    <col min="13829" max="13830" width="16.42578125" style="87" customWidth="1"/>
    <col min="13831" max="13831" width="6" style="87" customWidth="1"/>
    <col min="13832" max="13833" width="16.42578125" style="87" customWidth="1"/>
    <col min="13834" max="13834" width="11.42578125" style="87" customWidth="1"/>
    <col min="13835" max="14078" width="11.42578125" style="87"/>
    <col min="14079" max="14079" width="20.140625" style="87" customWidth="1"/>
    <col min="14080" max="14080" width="9.7109375" style="87" customWidth="1"/>
    <col min="14081" max="14081" width="12.140625" style="87" customWidth="1"/>
    <col min="14082" max="14082" width="7.140625" style="87" customWidth="1"/>
    <col min="14083" max="14083" width="8.140625" style="87" customWidth="1"/>
    <col min="14084" max="14084" width="9.28515625" style="87" customWidth="1"/>
    <col min="14085" max="14086" width="16.42578125" style="87" customWidth="1"/>
    <col min="14087" max="14087" width="6" style="87" customWidth="1"/>
    <col min="14088" max="14089" width="16.42578125" style="87" customWidth="1"/>
    <col min="14090" max="14090" width="11.42578125" style="87" customWidth="1"/>
    <col min="14091" max="14334" width="11.42578125" style="87"/>
    <col min="14335" max="14335" width="20.140625" style="87" customWidth="1"/>
    <col min="14336" max="14336" width="9.7109375" style="87" customWidth="1"/>
    <col min="14337" max="14337" width="12.140625" style="87" customWidth="1"/>
    <col min="14338" max="14338" width="7.140625" style="87" customWidth="1"/>
    <col min="14339" max="14339" width="8.140625" style="87" customWidth="1"/>
    <col min="14340" max="14340" width="9.28515625" style="87" customWidth="1"/>
    <col min="14341" max="14342" width="16.42578125" style="87" customWidth="1"/>
    <col min="14343" max="14343" width="6" style="87" customWidth="1"/>
    <col min="14344" max="14345" width="16.42578125" style="87" customWidth="1"/>
    <col min="14346" max="14346" width="11.42578125" style="87" customWidth="1"/>
    <col min="14347" max="14590" width="11.42578125" style="87"/>
    <col min="14591" max="14591" width="20.140625" style="87" customWidth="1"/>
    <col min="14592" max="14592" width="9.7109375" style="87" customWidth="1"/>
    <col min="14593" max="14593" width="12.140625" style="87" customWidth="1"/>
    <col min="14594" max="14594" width="7.140625" style="87" customWidth="1"/>
    <col min="14595" max="14595" width="8.140625" style="87" customWidth="1"/>
    <col min="14596" max="14596" width="9.28515625" style="87" customWidth="1"/>
    <col min="14597" max="14598" width="16.42578125" style="87" customWidth="1"/>
    <col min="14599" max="14599" width="6" style="87" customWidth="1"/>
    <col min="14600" max="14601" width="16.42578125" style="87" customWidth="1"/>
    <col min="14602" max="14602" width="11.42578125" style="87" customWidth="1"/>
    <col min="14603" max="14846" width="11.42578125" style="87"/>
    <col min="14847" max="14847" width="20.140625" style="87" customWidth="1"/>
    <col min="14848" max="14848" width="9.7109375" style="87" customWidth="1"/>
    <col min="14849" max="14849" width="12.140625" style="87" customWidth="1"/>
    <col min="14850" max="14850" width="7.140625" style="87" customWidth="1"/>
    <col min="14851" max="14851" width="8.140625" style="87" customWidth="1"/>
    <col min="14852" max="14852" width="9.28515625" style="87" customWidth="1"/>
    <col min="14853" max="14854" width="16.42578125" style="87" customWidth="1"/>
    <col min="14855" max="14855" width="6" style="87" customWidth="1"/>
    <col min="14856" max="14857" width="16.42578125" style="87" customWidth="1"/>
    <col min="14858" max="14858" width="11.42578125" style="87" customWidth="1"/>
    <col min="14859" max="15102" width="11.42578125" style="87"/>
    <col min="15103" max="15103" width="20.140625" style="87" customWidth="1"/>
    <col min="15104" max="15104" width="9.7109375" style="87" customWidth="1"/>
    <col min="15105" max="15105" width="12.140625" style="87" customWidth="1"/>
    <col min="15106" max="15106" width="7.140625" style="87" customWidth="1"/>
    <col min="15107" max="15107" width="8.140625" style="87" customWidth="1"/>
    <col min="15108" max="15108" width="9.28515625" style="87" customWidth="1"/>
    <col min="15109" max="15110" width="16.42578125" style="87" customWidth="1"/>
    <col min="15111" max="15111" width="6" style="87" customWidth="1"/>
    <col min="15112" max="15113" width="16.42578125" style="87" customWidth="1"/>
    <col min="15114" max="15114" width="11.42578125" style="87" customWidth="1"/>
    <col min="15115" max="15358" width="11.42578125" style="87"/>
    <col min="15359" max="15359" width="20.140625" style="87" customWidth="1"/>
    <col min="15360" max="15360" width="9.7109375" style="87" customWidth="1"/>
    <col min="15361" max="15361" width="12.140625" style="87" customWidth="1"/>
    <col min="15362" max="15362" width="7.140625" style="87" customWidth="1"/>
    <col min="15363" max="15363" width="8.140625" style="87" customWidth="1"/>
    <col min="15364" max="15364" width="9.28515625" style="87" customWidth="1"/>
    <col min="15365" max="15366" width="16.42578125" style="87" customWidth="1"/>
    <col min="15367" max="15367" width="6" style="87" customWidth="1"/>
    <col min="15368" max="15369" width="16.42578125" style="87" customWidth="1"/>
    <col min="15370" max="15370" width="11.42578125" style="87" customWidth="1"/>
    <col min="15371" max="15614" width="11.42578125" style="87"/>
    <col min="15615" max="15615" width="20.140625" style="87" customWidth="1"/>
    <col min="15616" max="15616" width="9.7109375" style="87" customWidth="1"/>
    <col min="15617" max="15617" width="12.140625" style="87" customWidth="1"/>
    <col min="15618" max="15618" width="7.140625" style="87" customWidth="1"/>
    <col min="15619" max="15619" width="8.140625" style="87" customWidth="1"/>
    <col min="15620" max="15620" width="9.28515625" style="87" customWidth="1"/>
    <col min="15621" max="15622" width="16.42578125" style="87" customWidth="1"/>
    <col min="15623" max="15623" width="6" style="87" customWidth="1"/>
    <col min="15624" max="15625" width="16.42578125" style="87" customWidth="1"/>
    <col min="15626" max="15626" width="11.42578125" style="87" customWidth="1"/>
    <col min="15627" max="15870" width="11.42578125" style="87"/>
    <col min="15871" max="15871" width="20.140625" style="87" customWidth="1"/>
    <col min="15872" max="15872" width="9.7109375" style="87" customWidth="1"/>
    <col min="15873" max="15873" width="12.140625" style="87" customWidth="1"/>
    <col min="15874" max="15874" width="7.140625" style="87" customWidth="1"/>
    <col min="15875" max="15875" width="8.140625" style="87" customWidth="1"/>
    <col min="15876" max="15876" width="9.28515625" style="87" customWidth="1"/>
    <col min="15877" max="15878" width="16.42578125" style="87" customWidth="1"/>
    <col min="15879" max="15879" width="6" style="87" customWidth="1"/>
    <col min="15880" max="15881" width="16.42578125" style="87" customWidth="1"/>
    <col min="15882" max="15882" width="11.42578125" style="87" customWidth="1"/>
    <col min="15883" max="16126" width="11.42578125" style="87"/>
    <col min="16127" max="16127" width="20.140625" style="87" customWidth="1"/>
    <col min="16128" max="16128" width="9.7109375" style="87" customWidth="1"/>
    <col min="16129" max="16129" width="12.140625" style="87" customWidth="1"/>
    <col min="16130" max="16130" width="7.140625" style="87" customWidth="1"/>
    <col min="16131" max="16131" width="8.140625" style="87" customWidth="1"/>
    <col min="16132" max="16132" width="9.28515625" style="87" customWidth="1"/>
    <col min="16133" max="16134" width="16.42578125" style="87" customWidth="1"/>
    <col min="16135" max="16135" width="6" style="87" customWidth="1"/>
    <col min="16136" max="16137" width="16.42578125" style="87" customWidth="1"/>
    <col min="16138" max="16138" width="11.42578125" style="87" customWidth="1"/>
    <col min="16139" max="16384" width="11.42578125" style="87"/>
  </cols>
  <sheetData>
    <row r="1" spans="1:9" ht="15.75" x14ac:dyDescent="0.25">
      <c r="A1" s="186" t="s">
        <v>314</v>
      </c>
      <c r="D1" s="88"/>
      <c r="E1" s="88"/>
      <c r="F1" s="88"/>
      <c r="I1" s="186"/>
    </row>
    <row r="2" spans="1:9" ht="15.75" x14ac:dyDescent="0.25">
      <c r="A2" s="388" t="s">
        <v>346</v>
      </c>
      <c r="D2" s="88"/>
      <c r="E2" s="88"/>
      <c r="F2" s="88"/>
      <c r="I2" s="186"/>
    </row>
    <row r="3" spans="1:9" ht="13.5" customHeight="1" x14ac:dyDescent="0.2">
      <c r="A3" s="91" t="s">
        <v>177</v>
      </c>
      <c r="B3" s="349">
        <v>2021</v>
      </c>
    </row>
    <row r="4" spans="1:9" ht="12.75" x14ac:dyDescent="0.2">
      <c r="A4" s="92" t="s">
        <v>164</v>
      </c>
      <c r="B4" s="89">
        <v>0.13</v>
      </c>
    </row>
    <row r="5" spans="1:9" ht="12.75" x14ac:dyDescent="0.2">
      <c r="A5" s="92" t="s">
        <v>165</v>
      </c>
      <c r="B5" s="89">
        <v>0.08</v>
      </c>
    </row>
    <row r="6" spans="1:9" ht="12.75" x14ac:dyDescent="0.2">
      <c r="A6" s="92" t="s">
        <v>166</v>
      </c>
      <c r="B6" s="89">
        <v>0.04</v>
      </c>
      <c r="D6" s="179"/>
    </row>
    <row r="7" spans="1:9" ht="12.75" x14ac:dyDescent="0.2">
      <c r="A7" s="92" t="s">
        <v>167</v>
      </c>
      <c r="B7" s="89">
        <v>0.04</v>
      </c>
    </row>
    <row r="8" spans="1:9" ht="12.75" x14ac:dyDescent="0.2">
      <c r="A8" s="87" t="s">
        <v>168</v>
      </c>
      <c r="B8" s="89">
        <v>0.21</v>
      </c>
      <c r="E8" s="221"/>
    </row>
    <row r="9" spans="1:9" ht="12.75" x14ac:dyDescent="0.2">
      <c r="A9" s="92" t="s">
        <v>170</v>
      </c>
      <c r="B9" s="89">
        <v>0.08</v>
      </c>
    </row>
    <row r="10" spans="1:9" ht="12.75" x14ac:dyDescent="0.2">
      <c r="A10" s="92" t="s">
        <v>171</v>
      </c>
      <c r="B10" s="89">
        <v>0.14000000000000001</v>
      </c>
    </row>
    <row r="11" spans="1:9" ht="12.75" x14ac:dyDescent="0.2">
      <c r="A11" s="92" t="s">
        <v>173</v>
      </c>
      <c r="B11" s="89">
        <v>0.02</v>
      </c>
    </row>
    <row r="12" spans="1:9" ht="12.75" x14ac:dyDescent="0.2">
      <c r="A12" s="94" t="s">
        <v>174</v>
      </c>
      <c r="B12" s="89">
        <v>0.04</v>
      </c>
    </row>
    <row r="13" spans="1:9" ht="12.75" x14ac:dyDescent="0.2">
      <c r="A13" s="87" t="s">
        <v>175</v>
      </c>
      <c r="B13" s="89">
        <v>0.13</v>
      </c>
    </row>
    <row r="14" spans="1:9" x14ac:dyDescent="0.2">
      <c r="A14" s="92" t="s">
        <v>116</v>
      </c>
      <c r="B14" s="95">
        <v>0.09</v>
      </c>
    </row>
    <row r="15" spans="1:9" x14ac:dyDescent="0.2">
      <c r="A15" s="96" t="s">
        <v>163</v>
      </c>
      <c r="B15" s="350">
        <v>0.5</v>
      </c>
      <c r="E15" s="174"/>
    </row>
    <row r="16" spans="1:9" x14ac:dyDescent="0.2">
      <c r="A16" s="92" t="s">
        <v>169</v>
      </c>
      <c r="B16" s="97">
        <v>0.22</v>
      </c>
      <c r="G16" s="174"/>
    </row>
    <row r="17" spans="1:10" x14ac:dyDescent="0.2">
      <c r="A17" s="92" t="s">
        <v>172</v>
      </c>
      <c r="B17" s="97">
        <v>0.19</v>
      </c>
    </row>
    <row r="18" spans="1:10" x14ac:dyDescent="0.2">
      <c r="A18" s="98" t="s">
        <v>176</v>
      </c>
      <c r="B18" s="99">
        <v>0.09</v>
      </c>
    </row>
    <row r="19" spans="1:10" ht="12.75" x14ac:dyDescent="0.2">
      <c r="A19" s="351" t="s">
        <v>281</v>
      </c>
    </row>
    <row r="20" spans="1:10" x14ac:dyDescent="0.2">
      <c r="A20" s="352" t="s">
        <v>201</v>
      </c>
    </row>
    <row r="21" spans="1:10" ht="24.75" customHeight="1" x14ac:dyDescent="0.2">
      <c r="A21" s="407" t="s">
        <v>274</v>
      </c>
      <c r="B21" s="407"/>
      <c r="C21" s="407"/>
      <c r="D21" s="407"/>
      <c r="E21" s="407"/>
      <c r="F21" s="407"/>
      <c r="G21" s="407"/>
      <c r="H21" s="407"/>
      <c r="I21" s="147"/>
      <c r="J21" s="147"/>
    </row>
    <row r="24" spans="1:10" ht="12.75" x14ac:dyDescent="0.2">
      <c r="A24" s="20" t="s">
        <v>314</v>
      </c>
    </row>
    <row r="35" spans="2:2" ht="12.75" x14ac:dyDescent="0.2">
      <c r="B35" s="100"/>
    </row>
    <row r="36" spans="2:2" ht="12.75" x14ac:dyDescent="0.2">
      <c r="B36" s="101"/>
    </row>
    <row r="37" spans="2:2" ht="12.75" x14ac:dyDescent="0.2">
      <c r="B37" s="101"/>
    </row>
    <row r="38" spans="2:2" ht="12.75" x14ac:dyDescent="0.2">
      <c r="B38" s="93"/>
    </row>
    <row r="44" spans="2:2" ht="12.75" x14ac:dyDescent="0.2">
      <c r="B44" s="102"/>
    </row>
    <row r="47" spans="2:2" ht="12.75" x14ac:dyDescent="0.2">
      <c r="B47" s="93"/>
    </row>
    <row r="52" spans="1:8" x14ac:dyDescent="0.2">
      <c r="B52" s="90"/>
    </row>
    <row r="58" spans="1:8" x14ac:dyDescent="0.2">
      <c r="A58" s="167" t="s">
        <v>201</v>
      </c>
    </row>
    <row r="59" spans="1:8" ht="24" customHeight="1" x14ac:dyDescent="0.2">
      <c r="A59" s="407" t="s">
        <v>274</v>
      </c>
      <c r="B59" s="407"/>
      <c r="C59" s="407"/>
      <c r="D59" s="407"/>
      <c r="E59" s="407"/>
      <c r="F59" s="407"/>
      <c r="G59" s="407"/>
      <c r="H59" s="407"/>
    </row>
  </sheetData>
  <mergeCells count="2">
    <mergeCell ref="A21:H21"/>
    <mergeCell ref="A59:H59"/>
  </mergeCells>
  <hyperlinks>
    <hyperlink ref="A2" location="Sommaire!A2" display="Retour au sommaire"/>
  </hyperlinks>
  <pageMargins left="0.13" right="0.14000000000000001" top="0.24" bottom="0.21" header="0.17" footer="0.17"/>
  <pageSetup paperSize="9" scale="5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38"/>
  <sheetViews>
    <sheetView showGridLines="0" zoomScale="120" zoomScaleNormal="120" workbookViewId="0">
      <selection sqref="A1:K1"/>
    </sheetView>
  </sheetViews>
  <sheetFormatPr baseColWidth="10" defaultColWidth="11.42578125" defaultRowHeight="12.75" x14ac:dyDescent="0.2"/>
  <cols>
    <col min="1" max="1" width="32.7109375" customWidth="1"/>
    <col min="2" max="2" width="9" customWidth="1"/>
    <col min="3" max="3" width="10.85546875" customWidth="1"/>
    <col min="4" max="4" width="14.140625" customWidth="1"/>
    <col min="5" max="5" width="11.5703125" customWidth="1"/>
    <col min="6" max="7" width="9.42578125" customWidth="1"/>
    <col min="8" max="8" width="11" customWidth="1"/>
    <col min="9" max="9" width="8.28515625" customWidth="1"/>
    <col min="10" max="10" width="9.42578125" customWidth="1"/>
    <col min="11" max="11" width="9.85546875" style="139" customWidth="1"/>
    <col min="12" max="12" width="11.42578125" style="72"/>
  </cols>
  <sheetData>
    <row r="1" spans="1:13" ht="31.5" customHeight="1" x14ac:dyDescent="0.2">
      <c r="A1" s="389" t="s">
        <v>304</v>
      </c>
      <c r="B1" s="389"/>
      <c r="C1" s="389"/>
      <c r="D1" s="389"/>
      <c r="E1" s="389"/>
      <c r="F1" s="389"/>
      <c r="G1" s="389"/>
      <c r="H1" s="389"/>
      <c r="I1" s="389"/>
      <c r="J1" s="389"/>
      <c r="K1" s="389"/>
    </row>
    <row r="2" spans="1:13" ht="14.25" customHeight="1" x14ac:dyDescent="0.2">
      <c r="A2" s="191" t="s">
        <v>215</v>
      </c>
    </row>
    <row r="3" spans="1:13" ht="14.25" customHeight="1" x14ac:dyDescent="0.2">
      <c r="A3" s="388" t="s">
        <v>346</v>
      </c>
    </row>
    <row r="4" spans="1:13" s="121" customFormat="1" ht="47.25" customHeight="1" x14ac:dyDescent="0.2">
      <c r="A4" s="117"/>
      <c r="B4" s="118" t="s">
        <v>43</v>
      </c>
      <c r="C4" s="118" t="s">
        <v>44</v>
      </c>
      <c r="D4" s="118" t="s">
        <v>0</v>
      </c>
      <c r="E4" s="118" t="s">
        <v>268</v>
      </c>
      <c r="F4" s="118" t="s">
        <v>234</v>
      </c>
      <c r="G4" s="118" t="s">
        <v>240</v>
      </c>
      <c r="H4" s="118" t="s">
        <v>61</v>
      </c>
      <c r="I4" s="118" t="s">
        <v>7</v>
      </c>
      <c r="J4" s="118" t="s">
        <v>128</v>
      </c>
      <c r="K4" s="119" t="s">
        <v>241</v>
      </c>
      <c r="L4" s="120" t="s">
        <v>184</v>
      </c>
    </row>
    <row r="5" spans="1:13" s="22" customFormat="1" ht="15.75" customHeight="1" x14ac:dyDescent="0.2">
      <c r="A5" s="44" t="s">
        <v>46</v>
      </c>
      <c r="B5" s="112"/>
      <c r="C5" s="112"/>
      <c r="D5" s="112"/>
      <c r="E5" s="112"/>
      <c r="F5" s="112">
        <v>235.81700000000001</v>
      </c>
      <c r="G5" s="112">
        <v>34.637</v>
      </c>
      <c r="H5" s="112">
        <v>81.525000000000006</v>
      </c>
      <c r="I5" s="112">
        <v>11.98</v>
      </c>
      <c r="J5" s="112">
        <v>363.959</v>
      </c>
      <c r="K5" s="140">
        <v>-1.1238915934973486</v>
      </c>
      <c r="L5" s="108">
        <f>100*J5/$J$30</f>
        <v>12.258903526381168</v>
      </c>
      <c r="M5" s="226"/>
    </row>
    <row r="6" spans="1:13" s="23" customFormat="1" ht="15.75" customHeight="1" x14ac:dyDescent="0.2">
      <c r="A6" s="45" t="s">
        <v>47</v>
      </c>
      <c r="B6" s="113" t="s">
        <v>122</v>
      </c>
      <c r="C6" s="113" t="s">
        <v>122</v>
      </c>
      <c r="D6" s="113" t="s">
        <v>122</v>
      </c>
      <c r="E6" s="113" t="s">
        <v>122</v>
      </c>
      <c r="F6" s="113">
        <v>58.898000000000003</v>
      </c>
      <c r="G6" s="113">
        <v>15.428000000000001</v>
      </c>
      <c r="H6" s="113">
        <v>11.433</v>
      </c>
      <c r="I6" s="113">
        <v>2.766</v>
      </c>
      <c r="J6" s="113">
        <v>88.525000000000006</v>
      </c>
      <c r="K6" s="141">
        <v>0.89353893846662336</v>
      </c>
      <c r="L6" s="109">
        <f t="shared" ref="L6:L31" si="0">100*J6/$J$30</f>
        <v>2.9817079249940046</v>
      </c>
    </row>
    <row r="7" spans="1:13" s="22" customFormat="1" ht="15.75" customHeight="1" x14ac:dyDescent="0.2">
      <c r="A7" s="44" t="s">
        <v>53</v>
      </c>
      <c r="B7" s="112">
        <v>1133.1389999999999</v>
      </c>
      <c r="C7" s="112">
        <v>177.941</v>
      </c>
      <c r="D7" s="112">
        <v>31.451000000000001</v>
      </c>
      <c r="E7" s="112">
        <v>115.056</v>
      </c>
      <c r="F7" s="112" t="s">
        <v>122</v>
      </c>
      <c r="G7" s="112" t="s">
        <v>122</v>
      </c>
      <c r="H7" s="112">
        <v>4.9649999999999999</v>
      </c>
      <c r="I7" s="112">
        <v>194.36199999999999</v>
      </c>
      <c r="J7" s="112">
        <v>1656.914</v>
      </c>
      <c r="K7" s="140">
        <v>0.42036924128685355</v>
      </c>
      <c r="L7" s="108">
        <f t="shared" si="0"/>
        <v>55.808343460418136</v>
      </c>
    </row>
    <row r="8" spans="1:13" s="22" customFormat="1" ht="15.75" customHeight="1" x14ac:dyDescent="0.2">
      <c r="A8" s="44" t="s">
        <v>62</v>
      </c>
      <c r="B8" s="112">
        <v>44.64</v>
      </c>
      <c r="C8" s="112">
        <v>1.095</v>
      </c>
      <c r="D8" s="112" t="s">
        <v>122</v>
      </c>
      <c r="E8" s="112" t="s">
        <v>122</v>
      </c>
      <c r="F8" s="112" t="s">
        <v>122</v>
      </c>
      <c r="G8" s="112" t="s">
        <v>122</v>
      </c>
      <c r="H8" s="112" t="s">
        <v>122</v>
      </c>
      <c r="I8" s="112">
        <v>33.334000000000003</v>
      </c>
      <c r="J8" s="112">
        <v>79.069000000000003</v>
      </c>
      <c r="K8" s="140">
        <v>5.3158048962412421</v>
      </c>
      <c r="L8" s="108">
        <f t="shared" si="0"/>
        <v>2.6632099849912563</v>
      </c>
    </row>
    <row r="9" spans="1:13" s="24" customFormat="1" ht="15.75" customHeight="1" x14ac:dyDescent="0.2">
      <c r="A9" s="45" t="s">
        <v>47</v>
      </c>
      <c r="B9" s="113">
        <v>32.878999999999998</v>
      </c>
      <c r="C9" s="113">
        <v>1.095</v>
      </c>
      <c r="D9" s="113" t="s">
        <v>122</v>
      </c>
      <c r="E9" s="113" t="s">
        <v>122</v>
      </c>
      <c r="F9" s="113" t="s">
        <v>122</v>
      </c>
      <c r="G9" s="113" t="s">
        <v>122</v>
      </c>
      <c r="H9" s="113" t="s">
        <v>122</v>
      </c>
      <c r="I9" s="113">
        <v>12.723000000000001</v>
      </c>
      <c r="J9" s="113">
        <v>46.697000000000003</v>
      </c>
      <c r="K9" s="141">
        <v>9.8158643557604126</v>
      </c>
      <c r="L9" s="109">
        <f t="shared" si="0"/>
        <v>1.5728530355656034</v>
      </c>
    </row>
    <row r="10" spans="1:13" s="22" customFormat="1" ht="15.75" customHeight="1" x14ac:dyDescent="0.2">
      <c r="A10" s="44" t="s">
        <v>54</v>
      </c>
      <c r="B10" s="112" t="s">
        <v>122</v>
      </c>
      <c r="C10" s="112" t="s">
        <v>122</v>
      </c>
      <c r="D10" s="112" t="s">
        <v>122</v>
      </c>
      <c r="E10" s="112" t="s">
        <v>122</v>
      </c>
      <c r="F10" s="112" t="s">
        <v>122</v>
      </c>
      <c r="G10" s="112" t="s">
        <v>122</v>
      </c>
      <c r="H10" s="112" t="s">
        <v>122</v>
      </c>
      <c r="I10" s="112">
        <v>7.7130000000000001</v>
      </c>
      <c r="J10" s="112">
        <v>7.7130000000000001</v>
      </c>
      <c r="K10" s="140">
        <v>5.4120541205412058</v>
      </c>
      <c r="L10" s="108">
        <f t="shared" si="0"/>
        <v>0.25979003925985605</v>
      </c>
    </row>
    <row r="11" spans="1:13" s="22" customFormat="1" ht="15.75" customHeight="1" x14ac:dyDescent="0.2">
      <c r="A11" s="44" t="s">
        <v>63</v>
      </c>
      <c r="B11" s="112">
        <v>13.08</v>
      </c>
      <c r="C11" s="112" t="s">
        <v>122</v>
      </c>
      <c r="D11" s="112">
        <v>144.50399999999999</v>
      </c>
      <c r="E11" s="112" t="s">
        <v>122</v>
      </c>
      <c r="F11" s="112">
        <v>6.3E-2</v>
      </c>
      <c r="G11" s="112">
        <v>0.188</v>
      </c>
      <c r="H11" s="112">
        <v>15.09</v>
      </c>
      <c r="I11" s="112">
        <v>8.5939999999999994</v>
      </c>
      <c r="J11" s="112">
        <v>181.51900000000001</v>
      </c>
      <c r="K11" s="140">
        <v>2.2688346517026119</v>
      </c>
      <c r="L11" s="108">
        <f t="shared" si="0"/>
        <v>6.1139411560235724</v>
      </c>
    </row>
    <row r="12" spans="1:13" s="23" customFormat="1" ht="15.75" customHeight="1" x14ac:dyDescent="0.2">
      <c r="A12" s="45" t="s">
        <v>47</v>
      </c>
      <c r="B12" s="113">
        <v>0.112</v>
      </c>
      <c r="C12" s="113" t="s">
        <v>122</v>
      </c>
      <c r="D12" s="113">
        <v>59.615000000000002</v>
      </c>
      <c r="E12" s="113" t="s">
        <v>122</v>
      </c>
      <c r="F12" s="114" t="s">
        <v>122</v>
      </c>
      <c r="G12" s="113">
        <v>0.188</v>
      </c>
      <c r="H12" s="113">
        <v>10.266999999999999</v>
      </c>
      <c r="I12" s="113">
        <v>1.827</v>
      </c>
      <c r="J12" s="113">
        <v>72.037999999999997</v>
      </c>
      <c r="K12" s="141">
        <v>4.4407393983327292</v>
      </c>
      <c r="L12" s="109">
        <f t="shared" si="0"/>
        <v>2.4263911381046945</v>
      </c>
    </row>
    <row r="13" spans="1:13" s="22" customFormat="1" ht="15.75" customHeight="1" x14ac:dyDescent="0.2">
      <c r="A13" s="44" t="s">
        <v>118</v>
      </c>
      <c r="B13" s="112" t="s">
        <v>122</v>
      </c>
      <c r="C13" s="112" t="s">
        <v>122</v>
      </c>
      <c r="D13" s="112" t="s">
        <v>122</v>
      </c>
      <c r="E13" s="112" t="s">
        <v>122</v>
      </c>
      <c r="F13" s="112">
        <v>5.2409999999999997</v>
      </c>
      <c r="G13" s="112">
        <v>17.782</v>
      </c>
      <c r="H13" s="112" t="s">
        <v>122</v>
      </c>
      <c r="I13" s="112">
        <v>239.249</v>
      </c>
      <c r="J13" s="112">
        <v>262.27199999999999</v>
      </c>
      <c r="K13" s="140">
        <v>11.639785976069161</v>
      </c>
      <c r="L13" s="108">
        <f t="shared" si="0"/>
        <v>8.833871797842729</v>
      </c>
    </row>
    <row r="14" spans="1:13" s="24" customFormat="1" ht="15.75" customHeight="1" x14ac:dyDescent="0.2">
      <c r="A14" s="45" t="s">
        <v>47</v>
      </c>
      <c r="B14" s="113" t="s">
        <v>122</v>
      </c>
      <c r="C14" s="113" t="s">
        <v>122</v>
      </c>
      <c r="D14" s="113" t="s">
        <v>122</v>
      </c>
      <c r="E14" s="113" t="s">
        <v>122</v>
      </c>
      <c r="F14" s="113">
        <v>5.2409999999999997</v>
      </c>
      <c r="G14" s="113">
        <v>17.782</v>
      </c>
      <c r="H14" s="113" t="s">
        <v>122</v>
      </c>
      <c r="I14" s="113">
        <v>237.994</v>
      </c>
      <c r="J14" s="113">
        <v>261.017</v>
      </c>
      <c r="K14" s="141">
        <v>11.72333795606691</v>
      </c>
      <c r="L14" s="109">
        <f t="shared" si="0"/>
        <v>8.7916007620238368</v>
      </c>
    </row>
    <row r="15" spans="1:13" s="25" customFormat="1" ht="15.75" customHeight="1" x14ac:dyDescent="0.2">
      <c r="A15" s="44" t="s">
        <v>56</v>
      </c>
      <c r="B15" s="112" t="s">
        <v>122</v>
      </c>
      <c r="C15" s="112" t="s">
        <v>122</v>
      </c>
      <c r="D15" s="112" t="s">
        <v>122</v>
      </c>
      <c r="E15" s="112" t="s">
        <v>122</v>
      </c>
      <c r="F15" s="112">
        <v>0.112</v>
      </c>
      <c r="G15" s="112" t="s">
        <v>122</v>
      </c>
      <c r="H15" s="112" t="s">
        <v>122</v>
      </c>
      <c r="I15" s="112">
        <v>9.8770000000000007</v>
      </c>
      <c r="J15" s="112">
        <v>9.9890000000000008</v>
      </c>
      <c r="K15" s="140">
        <v>2.3672883787661405</v>
      </c>
      <c r="L15" s="108">
        <f t="shared" si="0"/>
        <v>0.33645049943818256</v>
      </c>
    </row>
    <row r="16" spans="1:13" s="24" customFormat="1" ht="15.75" customHeight="1" x14ac:dyDescent="0.2">
      <c r="A16" s="45" t="s">
        <v>47</v>
      </c>
      <c r="B16" s="113" t="s">
        <v>122</v>
      </c>
      <c r="C16" s="113" t="s">
        <v>122</v>
      </c>
      <c r="D16" s="113" t="s">
        <v>122</v>
      </c>
      <c r="E16" s="113" t="s">
        <v>122</v>
      </c>
      <c r="F16" s="113">
        <v>0.112</v>
      </c>
      <c r="G16" s="113" t="s">
        <v>122</v>
      </c>
      <c r="H16" s="113" t="s">
        <v>122</v>
      </c>
      <c r="I16" s="113">
        <v>3.3959999999999999</v>
      </c>
      <c r="J16" s="113">
        <v>3.508</v>
      </c>
      <c r="K16" s="141">
        <v>7.4754901960784315</v>
      </c>
      <c r="L16" s="109">
        <f t="shared" si="0"/>
        <v>0.11815680769137496</v>
      </c>
    </row>
    <row r="17" spans="1:12" s="25" customFormat="1" ht="15.75" customHeight="1" x14ac:dyDescent="0.2">
      <c r="A17" s="44" t="s">
        <v>57</v>
      </c>
      <c r="B17" s="112" t="s">
        <v>122</v>
      </c>
      <c r="C17" s="112" t="s">
        <v>122</v>
      </c>
      <c r="D17" s="112" t="s">
        <v>122</v>
      </c>
      <c r="E17" s="112" t="s">
        <v>122</v>
      </c>
      <c r="F17" s="112">
        <v>8.5000000000000006E-2</v>
      </c>
      <c r="G17" s="112">
        <v>6.3E-2</v>
      </c>
      <c r="H17" s="112" t="s">
        <v>122</v>
      </c>
      <c r="I17" s="112">
        <v>19.251999999999999</v>
      </c>
      <c r="J17" s="112">
        <v>19.399999999999999</v>
      </c>
      <c r="K17" s="140">
        <v>5.0522553744517245</v>
      </c>
      <c r="L17" s="108">
        <f t="shared" si="0"/>
        <v>0.65343274492949655</v>
      </c>
    </row>
    <row r="18" spans="1:12" s="26" customFormat="1" ht="15.75" customHeight="1" x14ac:dyDescent="0.2">
      <c r="A18" s="45" t="s">
        <v>47</v>
      </c>
      <c r="B18" s="113" t="s">
        <v>122</v>
      </c>
      <c r="C18" s="113" t="s">
        <v>122</v>
      </c>
      <c r="D18" s="113" t="s">
        <v>122</v>
      </c>
      <c r="E18" s="113" t="s">
        <v>122</v>
      </c>
      <c r="F18" s="113">
        <v>8.5000000000000006E-2</v>
      </c>
      <c r="G18" s="113">
        <v>6.3E-2</v>
      </c>
      <c r="H18" s="113" t="s">
        <v>122</v>
      </c>
      <c r="I18" s="113">
        <v>19.251999999999999</v>
      </c>
      <c r="J18" s="113">
        <v>19.399999999999999</v>
      </c>
      <c r="K18" s="141">
        <v>5.0522553744517245</v>
      </c>
      <c r="L18" s="109">
        <f t="shared" si="0"/>
        <v>0.65343274492949655</v>
      </c>
    </row>
    <row r="19" spans="1:12" s="25" customFormat="1" ht="15.75" customHeight="1" x14ac:dyDescent="0.2">
      <c r="A19" s="44" t="s">
        <v>64</v>
      </c>
      <c r="B19" s="112" t="s">
        <v>122</v>
      </c>
      <c r="C19" s="112">
        <v>110.402</v>
      </c>
      <c r="D19" s="112" t="s">
        <v>122</v>
      </c>
      <c r="E19" s="112" t="s">
        <v>122</v>
      </c>
      <c r="F19" s="112" t="s">
        <v>122</v>
      </c>
      <c r="G19" s="112" t="s">
        <v>122</v>
      </c>
      <c r="H19" s="112" t="s">
        <v>122</v>
      </c>
      <c r="I19" s="112" t="s">
        <v>122</v>
      </c>
      <c r="J19" s="112">
        <v>110.402</v>
      </c>
      <c r="K19" s="317" t="s">
        <v>266</v>
      </c>
      <c r="L19" s="108">
        <f t="shared" si="0"/>
        <v>3.7185712322529016</v>
      </c>
    </row>
    <row r="20" spans="1:12" s="26" customFormat="1" ht="15.75" customHeight="1" x14ac:dyDescent="0.2">
      <c r="A20" s="45" t="s">
        <v>47</v>
      </c>
      <c r="B20" s="113" t="s">
        <v>122</v>
      </c>
      <c r="C20" s="113">
        <v>27.734999999999999</v>
      </c>
      <c r="D20" s="113" t="s">
        <v>122</v>
      </c>
      <c r="E20" s="113" t="s">
        <v>122</v>
      </c>
      <c r="F20" s="113" t="s">
        <v>122</v>
      </c>
      <c r="G20" s="113" t="s">
        <v>122</v>
      </c>
      <c r="H20" s="113" t="s">
        <v>122</v>
      </c>
      <c r="I20" s="113" t="s">
        <v>122</v>
      </c>
      <c r="J20" s="113">
        <v>27.734999999999999</v>
      </c>
      <c r="K20" s="318" t="s">
        <v>266</v>
      </c>
      <c r="L20" s="109">
        <f t="shared" si="0"/>
        <v>0.93417305054740141</v>
      </c>
    </row>
    <row r="21" spans="1:12" s="25" customFormat="1" ht="15.75" customHeight="1" x14ac:dyDescent="0.2">
      <c r="A21" s="44" t="s">
        <v>65</v>
      </c>
      <c r="B21" s="112" t="s">
        <v>122</v>
      </c>
      <c r="C21" s="112" t="s">
        <v>122</v>
      </c>
      <c r="D21" s="112" t="s">
        <v>122</v>
      </c>
      <c r="E21" s="112" t="s">
        <v>122</v>
      </c>
      <c r="F21" s="112">
        <v>0.183</v>
      </c>
      <c r="G21" s="112" t="s">
        <v>122</v>
      </c>
      <c r="H21" s="112" t="s">
        <v>122</v>
      </c>
      <c r="I21" s="112">
        <v>31.260999999999999</v>
      </c>
      <c r="J21" s="112">
        <v>31.45</v>
      </c>
      <c r="K21" s="317" t="s">
        <v>266</v>
      </c>
      <c r="L21" s="108">
        <f t="shared" si="0"/>
        <v>1.0593020529913746</v>
      </c>
    </row>
    <row r="22" spans="1:12" s="26" customFormat="1" ht="15.75" customHeight="1" x14ac:dyDescent="0.2">
      <c r="A22" s="45" t="s">
        <v>47</v>
      </c>
      <c r="B22" s="113" t="s">
        <v>122</v>
      </c>
      <c r="C22" s="113" t="s">
        <v>122</v>
      </c>
      <c r="D22" s="113" t="s">
        <v>122</v>
      </c>
      <c r="E22" s="113" t="s">
        <v>122</v>
      </c>
      <c r="F22" s="113">
        <v>0.183</v>
      </c>
      <c r="G22" s="113" t="s">
        <v>122</v>
      </c>
      <c r="H22" s="113" t="s">
        <v>122</v>
      </c>
      <c r="I22" s="113">
        <v>29.550999999999998</v>
      </c>
      <c r="J22" s="113">
        <v>29.74</v>
      </c>
      <c r="K22" s="318" t="s">
        <v>266</v>
      </c>
      <c r="L22" s="109">
        <f t="shared" si="0"/>
        <v>1.0017056615568674</v>
      </c>
    </row>
    <row r="23" spans="1:12" s="25" customFormat="1" ht="15.75" customHeight="1" x14ac:dyDescent="0.2">
      <c r="A23" s="44" t="s">
        <v>66</v>
      </c>
      <c r="B23" s="112">
        <v>0.20899999999999999</v>
      </c>
      <c r="C23" s="112" t="s">
        <v>122</v>
      </c>
      <c r="D23" s="112" t="s">
        <v>122</v>
      </c>
      <c r="E23" s="112" t="s">
        <v>122</v>
      </c>
      <c r="F23" s="112">
        <v>0.47899999999999998</v>
      </c>
      <c r="G23" s="112">
        <v>7.9000000000000001E-2</v>
      </c>
      <c r="H23" s="112" t="s">
        <v>122</v>
      </c>
      <c r="I23" s="112">
        <v>70.468000000000004</v>
      </c>
      <c r="J23" s="112">
        <v>71.234999999999999</v>
      </c>
      <c r="K23" s="140">
        <v>4.5497908563880527</v>
      </c>
      <c r="L23" s="108">
        <f t="shared" si="0"/>
        <v>2.3993444116006541</v>
      </c>
    </row>
    <row r="24" spans="1:12" s="26" customFormat="1" ht="15.75" customHeight="1" x14ac:dyDescent="0.2">
      <c r="A24" s="45" t="s">
        <v>47</v>
      </c>
      <c r="B24" s="114" t="s">
        <v>122</v>
      </c>
      <c r="C24" s="113" t="s">
        <v>122</v>
      </c>
      <c r="D24" s="113" t="s">
        <v>122</v>
      </c>
      <c r="E24" s="113" t="s">
        <v>122</v>
      </c>
      <c r="F24" s="113">
        <v>0.47899999999999998</v>
      </c>
      <c r="G24" s="113">
        <v>7.9000000000000001E-2</v>
      </c>
      <c r="H24" s="113" t="s">
        <v>122</v>
      </c>
      <c r="I24" s="113">
        <v>53.298999999999999</v>
      </c>
      <c r="J24" s="113">
        <v>53.884</v>
      </c>
      <c r="K24" s="141">
        <v>6.0061773327300267</v>
      </c>
      <c r="L24" s="109">
        <f t="shared" si="0"/>
        <v>1.8149262900918037</v>
      </c>
    </row>
    <row r="25" spans="1:12" s="25" customFormat="1" ht="15.75" customHeight="1" x14ac:dyDescent="0.2">
      <c r="A25" s="44" t="s">
        <v>58</v>
      </c>
      <c r="B25" s="112">
        <v>0.499</v>
      </c>
      <c r="C25" s="112" t="s">
        <v>122</v>
      </c>
      <c r="D25" s="112" t="s">
        <v>122</v>
      </c>
      <c r="E25" s="112" t="s">
        <v>122</v>
      </c>
      <c r="F25" s="112" t="s">
        <v>122</v>
      </c>
      <c r="G25" s="112" t="s">
        <v>122</v>
      </c>
      <c r="H25" s="112" t="s">
        <v>122</v>
      </c>
      <c r="I25" s="112">
        <v>20.343</v>
      </c>
      <c r="J25" s="112">
        <v>20.841999999999999</v>
      </c>
      <c r="K25" s="140">
        <v>2.3221562177819237</v>
      </c>
      <c r="L25" s="108">
        <f t="shared" si="0"/>
        <v>0.70200233349590546</v>
      </c>
    </row>
    <row r="26" spans="1:12" s="26" customFormat="1" ht="15.75" customHeight="1" x14ac:dyDescent="0.2">
      <c r="A26" s="45" t="s">
        <v>47</v>
      </c>
      <c r="B26" s="113" t="s">
        <v>122</v>
      </c>
      <c r="C26" s="113" t="s">
        <v>122</v>
      </c>
      <c r="D26" s="113" t="s">
        <v>122</v>
      </c>
      <c r="E26" s="113" t="s">
        <v>122</v>
      </c>
      <c r="F26" s="113" t="s">
        <v>122</v>
      </c>
      <c r="G26" s="113" t="s">
        <v>122</v>
      </c>
      <c r="H26" s="113" t="s">
        <v>122</v>
      </c>
      <c r="I26" s="113">
        <v>0.81499999999999995</v>
      </c>
      <c r="J26" s="113">
        <v>0.81499999999999995</v>
      </c>
      <c r="K26" s="141">
        <v>-12.365591397849462</v>
      </c>
      <c r="L26" s="109">
        <f t="shared" si="0"/>
        <v>2.7450911707089676E-2</v>
      </c>
    </row>
    <row r="27" spans="1:12" s="25" customFormat="1" ht="15.75" customHeight="1" x14ac:dyDescent="0.2">
      <c r="A27" s="44" t="s">
        <v>59</v>
      </c>
      <c r="B27" s="112" t="s">
        <v>122</v>
      </c>
      <c r="C27" s="112" t="s">
        <v>122</v>
      </c>
      <c r="D27" s="112" t="s">
        <v>122</v>
      </c>
      <c r="E27" s="112" t="s">
        <v>122</v>
      </c>
      <c r="F27" s="112" t="s">
        <v>122</v>
      </c>
      <c r="G27" s="112" t="s">
        <v>122</v>
      </c>
      <c r="H27" s="112" t="s">
        <v>122</v>
      </c>
      <c r="I27" s="112">
        <v>3.4420000000000002</v>
      </c>
      <c r="J27" s="112">
        <v>3.4420000000000002</v>
      </c>
      <c r="K27" s="140">
        <v>9.1312618896639197</v>
      </c>
      <c r="L27" s="108">
        <f t="shared" si="0"/>
        <v>0.11593378907460451</v>
      </c>
    </row>
    <row r="28" spans="1:12" s="27" customFormat="1" ht="15.75" customHeight="1" x14ac:dyDescent="0.2">
      <c r="A28" s="44" t="s">
        <v>48</v>
      </c>
      <c r="B28" s="112">
        <v>0.48</v>
      </c>
      <c r="C28" s="112" t="s">
        <v>122</v>
      </c>
      <c r="D28" s="112" t="s">
        <v>122</v>
      </c>
      <c r="E28" s="112" t="s">
        <v>122</v>
      </c>
      <c r="F28" s="112">
        <v>10.061</v>
      </c>
      <c r="G28" s="112">
        <v>104.069</v>
      </c>
      <c r="H28" s="112">
        <v>1.8460000000000001</v>
      </c>
      <c r="I28" s="112">
        <v>34.274000000000001</v>
      </c>
      <c r="J28" s="112">
        <v>150.72999999999999</v>
      </c>
      <c r="K28" s="140">
        <v>25.097518466262759</v>
      </c>
      <c r="L28" s="108">
        <f t="shared" si="0"/>
        <v>5.0769029713001554</v>
      </c>
    </row>
    <row r="29" spans="1:12" s="26" customFormat="1" ht="15.75" customHeight="1" x14ac:dyDescent="0.2">
      <c r="A29" s="45" t="s">
        <v>47</v>
      </c>
      <c r="B29" s="113">
        <v>0.48</v>
      </c>
      <c r="C29" s="113" t="s">
        <v>122</v>
      </c>
      <c r="D29" s="113" t="s">
        <v>122</v>
      </c>
      <c r="E29" s="113" t="s">
        <v>122</v>
      </c>
      <c r="F29" s="113">
        <v>10.061</v>
      </c>
      <c r="G29" s="113">
        <v>87.97</v>
      </c>
      <c r="H29" s="113">
        <v>1.8460000000000001</v>
      </c>
      <c r="I29" s="113">
        <v>33.072000000000003</v>
      </c>
      <c r="J29" s="113">
        <v>133.429</v>
      </c>
      <c r="K29" s="141">
        <v>26.00836725250026</v>
      </c>
      <c r="L29" s="109">
        <f t="shared" si="0"/>
        <v>4.4941689548040102</v>
      </c>
    </row>
    <row r="30" spans="1:12" s="25" customFormat="1" ht="15.75" customHeight="1" x14ac:dyDescent="0.2">
      <c r="A30" s="80" t="s">
        <v>9</v>
      </c>
      <c r="B30" s="115">
        <v>1192.047</v>
      </c>
      <c r="C30" s="115">
        <v>289.43799999999999</v>
      </c>
      <c r="D30" s="115">
        <v>175.95500000000001</v>
      </c>
      <c r="E30" s="115">
        <v>115.056</v>
      </c>
      <c r="F30" s="115">
        <v>252.041</v>
      </c>
      <c r="G30" s="115">
        <v>156.82400000000001</v>
      </c>
      <c r="H30" s="115">
        <v>103.426</v>
      </c>
      <c r="I30" s="115">
        <v>684.149</v>
      </c>
      <c r="J30" s="115">
        <v>2968.9360000000001</v>
      </c>
      <c r="K30" s="142">
        <v>2.5364238364852421</v>
      </c>
      <c r="L30" s="110">
        <f t="shared" si="0"/>
        <v>100</v>
      </c>
    </row>
    <row r="31" spans="1:12" s="27" customFormat="1" ht="15.75" customHeight="1" thickBot="1" x14ac:dyDescent="0.25">
      <c r="A31" s="46" t="s">
        <v>47</v>
      </c>
      <c r="B31" s="116">
        <v>33.497999999999998</v>
      </c>
      <c r="C31" s="116">
        <v>28.83</v>
      </c>
      <c r="D31" s="116">
        <v>59.615000000000002</v>
      </c>
      <c r="E31" s="116" t="s">
        <v>122</v>
      </c>
      <c r="F31" s="116">
        <v>75.087999999999994</v>
      </c>
      <c r="G31" s="116">
        <v>121.51600000000001</v>
      </c>
      <c r="H31" s="116">
        <v>23.545999999999999</v>
      </c>
      <c r="I31" s="116">
        <v>394.69499999999999</v>
      </c>
      <c r="J31" s="116">
        <v>736.78800000000001</v>
      </c>
      <c r="K31" s="143">
        <v>9.951291142867376</v>
      </c>
      <c r="L31" s="47">
        <f t="shared" si="0"/>
        <v>24.816567282016184</v>
      </c>
    </row>
    <row r="32" spans="1:12" s="27" customFormat="1" ht="12.75" customHeight="1" x14ac:dyDescent="0.2">
      <c r="B32" s="36"/>
      <c r="C32" s="36"/>
      <c r="D32" s="36"/>
      <c r="E32" s="37"/>
      <c r="F32" s="37"/>
      <c r="G32" s="37"/>
      <c r="H32" s="38"/>
      <c r="I32" s="38"/>
      <c r="J32" s="38"/>
      <c r="K32" s="144"/>
      <c r="L32" s="111"/>
    </row>
    <row r="33" spans="1:12" s="27" customFormat="1" ht="12.75" customHeight="1" x14ac:dyDescent="0.2">
      <c r="A33" s="294" t="s">
        <v>239</v>
      </c>
      <c r="B33" s="215"/>
      <c r="C33" s="215"/>
      <c r="D33" s="215"/>
      <c r="E33" s="215"/>
      <c r="F33" s="215"/>
      <c r="G33" s="215"/>
      <c r="H33" s="215"/>
      <c r="I33" s="216"/>
      <c r="J33" s="216"/>
      <c r="K33" s="144"/>
      <c r="L33" s="111"/>
    </row>
    <row r="34" spans="1:12" s="27" customFormat="1" ht="12.75" customHeight="1" x14ac:dyDescent="0.2">
      <c r="A34" s="294" t="s">
        <v>226</v>
      </c>
      <c r="B34" s="215"/>
      <c r="C34" s="215"/>
      <c r="D34" s="215"/>
      <c r="E34" s="215"/>
      <c r="F34" s="215"/>
      <c r="G34" s="215"/>
      <c r="H34" s="215"/>
      <c r="I34" s="216"/>
      <c r="J34" s="216"/>
      <c r="K34" s="145"/>
      <c r="L34" s="111"/>
    </row>
    <row r="35" spans="1:12" s="27" customFormat="1" ht="23.25" customHeight="1" x14ac:dyDescent="0.2">
      <c r="A35" s="392" t="s">
        <v>227</v>
      </c>
      <c r="B35" s="393"/>
      <c r="C35" s="393"/>
      <c r="D35" s="393"/>
      <c r="E35" s="393"/>
      <c r="F35" s="393"/>
      <c r="G35" s="393"/>
      <c r="H35" s="393"/>
      <c r="I35" s="393"/>
      <c r="J35" s="393"/>
      <c r="K35" s="146"/>
      <c r="L35" s="111"/>
    </row>
    <row r="36" spans="1:12" s="27" customFormat="1" ht="12.75" customHeight="1" x14ac:dyDescent="0.2">
      <c r="A36" s="217" t="s">
        <v>269</v>
      </c>
      <c r="B36" s="218"/>
      <c r="C36" s="218"/>
      <c r="D36" s="218"/>
      <c r="E36" s="218"/>
      <c r="F36" s="218"/>
      <c r="G36" s="218"/>
      <c r="H36" s="218"/>
      <c r="I36" s="218"/>
      <c r="J36" s="218"/>
      <c r="K36" s="146"/>
      <c r="L36" s="111"/>
    </row>
    <row r="37" spans="1:12" s="25" customFormat="1" ht="13.5" customHeight="1" x14ac:dyDescent="0.2">
      <c r="A37" s="219"/>
      <c r="B37" s="219"/>
      <c r="C37" s="219"/>
      <c r="D37" s="219"/>
      <c r="E37" s="219"/>
      <c r="F37" s="219"/>
      <c r="G37" s="219"/>
      <c r="H37" s="219"/>
      <c r="I37" s="219"/>
      <c r="J37" s="219"/>
      <c r="K37" s="138"/>
    </row>
    <row r="38" spans="1:12" s="27" customFormat="1" ht="40.5" customHeight="1" x14ac:dyDescent="0.2">
      <c r="A38" s="390" t="s">
        <v>352</v>
      </c>
      <c r="B38" s="391"/>
      <c r="C38" s="391"/>
      <c r="D38" s="391"/>
      <c r="E38" s="391"/>
      <c r="F38" s="391"/>
      <c r="G38" s="391"/>
      <c r="H38" s="391"/>
      <c r="I38" s="391"/>
      <c r="J38" s="391"/>
      <c r="K38" s="146"/>
      <c r="L38" s="111"/>
    </row>
  </sheetData>
  <mergeCells count="3">
    <mergeCell ref="A1:K1"/>
    <mergeCell ref="A38:J38"/>
    <mergeCell ref="A35:J35"/>
  </mergeCells>
  <phoneticPr fontId="16" type="noConversion"/>
  <hyperlinks>
    <hyperlink ref="A3" location="Sommaire!A2" display="Retour au sommaire"/>
  </hyperlinks>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X25"/>
  <sheetViews>
    <sheetView showGridLines="0" zoomScaleNormal="100" workbookViewId="0"/>
  </sheetViews>
  <sheetFormatPr baseColWidth="10" defaultRowHeight="12.75" x14ac:dyDescent="0.2"/>
  <cols>
    <col min="1" max="1" width="26.7109375" style="171" customWidth="1"/>
    <col min="2" max="2" width="14" style="171" customWidth="1"/>
    <col min="3" max="9" width="10" style="171" customWidth="1"/>
    <col min="10" max="10" width="9.42578125" style="171" customWidth="1"/>
    <col min="11" max="11" width="9.85546875" style="171" customWidth="1"/>
    <col min="12" max="16384" width="11.42578125" style="171"/>
  </cols>
  <sheetData>
    <row r="1" spans="1:24" ht="15" x14ac:dyDescent="0.25">
      <c r="A1" s="71" t="s">
        <v>305</v>
      </c>
      <c r="B1" s="64"/>
      <c r="C1" s="64"/>
      <c r="D1" s="64"/>
      <c r="E1" s="64"/>
      <c r="F1" s="64"/>
      <c r="G1" s="64"/>
      <c r="H1" s="64"/>
      <c r="I1" s="64"/>
      <c r="J1" s="387"/>
      <c r="K1" s="387"/>
      <c r="L1" s="387"/>
    </row>
    <row r="2" spans="1:24" ht="12" customHeight="1" x14ac:dyDescent="0.25">
      <c r="A2" s="388" t="s">
        <v>346</v>
      </c>
      <c r="B2" s="64"/>
      <c r="C2" s="64"/>
      <c r="D2" s="64"/>
      <c r="E2" s="64"/>
      <c r="F2" s="64"/>
      <c r="G2" s="64"/>
      <c r="H2" s="64"/>
      <c r="I2" s="64"/>
      <c r="J2" s="64"/>
    </row>
    <row r="3" spans="1:24" ht="13.5" thickBot="1" x14ac:dyDescent="0.25">
      <c r="A3" s="397"/>
      <c r="B3" s="398"/>
      <c r="C3" s="81" t="s">
        <v>76</v>
      </c>
      <c r="D3" s="81" t="s">
        <v>75</v>
      </c>
      <c r="E3" s="81" t="s">
        <v>74</v>
      </c>
      <c r="F3" s="81" t="s">
        <v>71</v>
      </c>
      <c r="G3" s="81" t="s">
        <v>70</v>
      </c>
      <c r="H3" s="82" t="s">
        <v>119</v>
      </c>
      <c r="I3" s="81" t="s">
        <v>124</v>
      </c>
      <c r="J3" s="83" t="s">
        <v>129</v>
      </c>
      <c r="K3" s="83" t="s">
        <v>190</v>
      </c>
      <c r="L3" s="83" t="s">
        <v>231</v>
      </c>
      <c r="M3" s="83" t="s">
        <v>260</v>
      </c>
    </row>
    <row r="4" spans="1:24" x14ac:dyDescent="0.2">
      <c r="A4" s="399" t="s">
        <v>111</v>
      </c>
      <c r="B4" s="400"/>
      <c r="C4" s="67">
        <v>452616</v>
      </c>
      <c r="D4" s="67">
        <v>496427</v>
      </c>
      <c r="E4" s="67">
        <v>593057</v>
      </c>
      <c r="F4" s="67">
        <v>655858</v>
      </c>
      <c r="G4" s="67">
        <v>681078</v>
      </c>
      <c r="H4" s="65">
        <v>691215</v>
      </c>
      <c r="I4" s="65">
        <v>696983</v>
      </c>
      <c r="J4" s="69">
        <v>712166</v>
      </c>
      <c r="K4" s="69">
        <v>717955</v>
      </c>
      <c r="L4" s="69">
        <v>749562</v>
      </c>
      <c r="M4" s="69">
        <v>720043</v>
      </c>
    </row>
    <row r="5" spans="1:24" x14ac:dyDescent="0.2">
      <c r="A5" s="401" t="s">
        <v>112</v>
      </c>
      <c r="B5" s="402"/>
      <c r="C5" s="68"/>
      <c r="D5" s="68"/>
      <c r="E5" s="68">
        <v>23344</v>
      </c>
      <c r="F5" s="68">
        <v>33876</v>
      </c>
      <c r="G5" s="68">
        <v>36239</v>
      </c>
      <c r="H5" s="66">
        <v>39110</v>
      </c>
      <c r="I5" s="66">
        <v>41666</v>
      </c>
      <c r="J5" s="70">
        <v>41993</v>
      </c>
      <c r="K5" s="70">
        <v>38757</v>
      </c>
      <c r="L5" s="70">
        <v>45353</v>
      </c>
      <c r="M5" s="70">
        <v>46527</v>
      </c>
    </row>
    <row r="6" spans="1:24" ht="15" x14ac:dyDescent="0.25">
      <c r="A6" s="403" t="s">
        <v>113</v>
      </c>
      <c r="B6" s="404"/>
      <c r="C6" s="153">
        <v>27.047257835353111</v>
      </c>
      <c r="D6" s="153">
        <v>28.7</v>
      </c>
      <c r="E6" s="153">
        <v>33.437331795752307</v>
      </c>
      <c r="F6" s="153">
        <v>34.536665852406287</v>
      </c>
      <c r="G6" s="153">
        <v>34.759576864189093</v>
      </c>
      <c r="H6" s="154"/>
      <c r="I6" s="155"/>
      <c r="J6" s="156"/>
      <c r="K6" s="156"/>
      <c r="L6" s="156"/>
      <c r="M6" s="156"/>
    </row>
    <row r="7" spans="1:24" ht="13.5" thickBot="1" x14ac:dyDescent="0.25">
      <c r="A7" s="403" t="s">
        <v>155</v>
      </c>
      <c r="B7" s="404"/>
      <c r="C7" s="157"/>
      <c r="D7" s="157"/>
      <c r="E7" s="157"/>
      <c r="F7" s="153">
        <v>37.165641679511012</v>
      </c>
      <c r="G7" s="153">
        <v>37.862299014363536</v>
      </c>
      <c r="H7" s="158">
        <v>37.7005168867572</v>
      </c>
      <c r="I7" s="158">
        <v>37.363845157607628</v>
      </c>
      <c r="J7" s="159">
        <v>37.725072691241927</v>
      </c>
      <c r="K7" s="159">
        <v>36.792318430314666</v>
      </c>
      <c r="L7" s="159">
        <v>38.4</v>
      </c>
      <c r="M7" s="159">
        <v>37.700000000000003</v>
      </c>
    </row>
    <row r="8" spans="1:24" ht="20.25" customHeight="1" x14ac:dyDescent="0.2">
      <c r="A8" s="405" t="s">
        <v>156</v>
      </c>
      <c r="B8" s="406"/>
      <c r="C8" s="148">
        <v>478600</v>
      </c>
      <c r="D8" s="148">
        <v>522242</v>
      </c>
      <c r="E8" s="148">
        <v>665114</v>
      </c>
      <c r="F8" s="148">
        <v>683647</v>
      </c>
      <c r="G8" s="148">
        <v>711261</v>
      </c>
      <c r="H8" s="149">
        <v>719436</v>
      </c>
      <c r="I8" s="148">
        <v>730487</v>
      </c>
      <c r="J8" s="150">
        <v>745083</v>
      </c>
      <c r="K8" s="150">
        <v>818257</v>
      </c>
      <c r="L8" s="150">
        <v>800191</v>
      </c>
      <c r="M8" s="150">
        <v>757429</v>
      </c>
    </row>
    <row r="9" spans="1:24" x14ac:dyDescent="0.2">
      <c r="A9" s="403" t="s">
        <v>113</v>
      </c>
      <c r="B9" s="403"/>
      <c r="C9" s="160">
        <v>28.619095741818199</v>
      </c>
      <c r="D9" s="160">
        <v>30.2</v>
      </c>
      <c r="E9" s="161">
        <v>37.5</v>
      </c>
      <c r="F9" s="161">
        <v>36</v>
      </c>
      <c r="G9" s="161">
        <v>36.299999999999997</v>
      </c>
      <c r="H9" s="161"/>
      <c r="I9" s="161"/>
      <c r="J9" s="162"/>
      <c r="K9" s="162"/>
      <c r="L9" s="162"/>
      <c r="M9" s="162"/>
    </row>
    <row r="10" spans="1:24" ht="13.5" thickBot="1" x14ac:dyDescent="0.25">
      <c r="A10" s="403" t="s">
        <v>155</v>
      </c>
      <c r="B10" s="403"/>
      <c r="C10" s="163"/>
      <c r="D10" s="163"/>
      <c r="E10" s="164"/>
      <c r="F10" s="164">
        <v>38.74673344018462</v>
      </c>
      <c r="G10" s="164">
        <v>39.547630161860582</v>
      </c>
      <c r="H10" s="164">
        <v>39.246739186415638</v>
      </c>
      <c r="I10" s="164">
        <v>39.337259051634774</v>
      </c>
      <c r="J10" s="165">
        <v>39.468761968429568</v>
      </c>
      <c r="K10" s="165">
        <v>41.93239423339066</v>
      </c>
      <c r="L10" s="165">
        <v>40.97</v>
      </c>
      <c r="M10" s="165">
        <v>39.6</v>
      </c>
    </row>
    <row r="11" spans="1:24" s="172" customFormat="1" ht="12.75" customHeight="1" x14ac:dyDescent="0.2">
      <c r="A11" s="405" t="s">
        <v>186</v>
      </c>
      <c r="B11" s="406"/>
      <c r="C11" s="148"/>
      <c r="D11" s="148"/>
      <c r="E11" s="148"/>
      <c r="F11" s="148"/>
      <c r="G11" s="148"/>
      <c r="H11" s="148"/>
      <c r="I11" s="148"/>
      <c r="J11" s="148"/>
      <c r="K11" s="148"/>
      <c r="L11" s="148"/>
      <c r="M11" s="148"/>
    </row>
    <row r="12" spans="1:24" s="173" customFormat="1" ht="15" x14ac:dyDescent="0.2">
      <c r="A12" s="151" t="s">
        <v>351</v>
      </c>
      <c r="B12" s="152" t="s">
        <v>157</v>
      </c>
      <c r="C12" s="166">
        <v>26.6</v>
      </c>
      <c r="D12" s="166">
        <v>28.8</v>
      </c>
      <c r="E12" s="166">
        <v>33.800000000000004</v>
      </c>
      <c r="F12" s="166">
        <v>34.699999999999996</v>
      </c>
      <c r="G12" s="166">
        <v>34.5</v>
      </c>
      <c r="H12" s="166"/>
      <c r="I12" s="166"/>
      <c r="J12" s="166"/>
      <c r="K12" s="166"/>
      <c r="L12" s="166"/>
      <c r="M12" s="166"/>
      <c r="N12" s="223"/>
      <c r="O12" s="223"/>
      <c r="P12" s="223"/>
      <c r="Q12" s="223"/>
      <c r="R12" s="223"/>
      <c r="S12" s="224"/>
    </row>
    <row r="13" spans="1:24" x14ac:dyDescent="0.2">
      <c r="A13" s="151" t="s">
        <v>78</v>
      </c>
      <c r="B13" s="152" t="s">
        <v>158</v>
      </c>
      <c r="C13" s="166"/>
      <c r="D13" s="166"/>
      <c r="E13" s="166"/>
      <c r="F13" s="166">
        <v>39.5</v>
      </c>
      <c r="G13" s="166">
        <v>39.900000000000006</v>
      </c>
      <c r="H13" s="166">
        <v>40</v>
      </c>
      <c r="I13" s="166">
        <v>39.5</v>
      </c>
      <c r="J13" s="166">
        <v>40</v>
      </c>
      <c r="K13" s="166">
        <v>38.986622735466064</v>
      </c>
      <c r="L13" s="166">
        <v>41.021434441602331</v>
      </c>
      <c r="M13" s="166">
        <v>40.299999999999997</v>
      </c>
      <c r="N13" s="223"/>
      <c r="O13" s="223"/>
      <c r="P13" s="223"/>
      <c r="Q13" s="223"/>
      <c r="R13" s="223"/>
      <c r="S13" s="223"/>
    </row>
    <row r="14" spans="1:24" x14ac:dyDescent="0.2">
      <c r="A14" s="151" t="s">
        <v>159</v>
      </c>
      <c r="B14" s="152" t="s">
        <v>157</v>
      </c>
      <c r="C14" s="166">
        <v>42.4</v>
      </c>
      <c r="D14" s="166">
        <v>42.8</v>
      </c>
      <c r="E14" s="166">
        <v>44.1</v>
      </c>
      <c r="F14" s="166">
        <v>47.5</v>
      </c>
      <c r="G14" s="166">
        <v>50.3</v>
      </c>
      <c r="H14" s="166"/>
      <c r="I14" s="166"/>
      <c r="J14" s="166"/>
      <c r="K14" s="166"/>
      <c r="L14" s="166"/>
      <c r="M14" s="166"/>
      <c r="N14" s="223"/>
      <c r="O14" s="223"/>
      <c r="P14" s="223"/>
      <c r="Q14" s="223"/>
      <c r="R14" s="223"/>
      <c r="S14" s="223"/>
    </row>
    <row r="15" spans="1:24" x14ac:dyDescent="0.2">
      <c r="A15" s="151" t="s">
        <v>160</v>
      </c>
      <c r="B15" s="152" t="s">
        <v>158</v>
      </c>
      <c r="C15" s="166"/>
      <c r="D15" s="166"/>
      <c r="E15" s="166"/>
      <c r="F15" s="166">
        <v>51</v>
      </c>
      <c r="G15" s="166">
        <v>53.800000000000004</v>
      </c>
      <c r="H15" s="166">
        <v>54.300000000000004</v>
      </c>
      <c r="I15" s="166">
        <v>55.000000000000007</v>
      </c>
      <c r="J15" s="166">
        <v>54.6</v>
      </c>
      <c r="K15" s="166">
        <v>54.049334709373042</v>
      </c>
      <c r="L15" s="166">
        <v>54.931435323861614</v>
      </c>
      <c r="M15" s="166">
        <v>54.3</v>
      </c>
      <c r="N15" s="223"/>
      <c r="O15" s="223"/>
      <c r="P15" s="223"/>
      <c r="Q15" s="223"/>
      <c r="R15" s="223"/>
      <c r="S15" s="223"/>
    </row>
    <row r="16" spans="1:24" ht="15" x14ac:dyDescent="0.25">
      <c r="A16" s="151" t="s">
        <v>49</v>
      </c>
      <c r="B16" s="152" t="s">
        <v>157</v>
      </c>
      <c r="C16" s="166">
        <v>17.100000000000001</v>
      </c>
      <c r="D16" s="166">
        <v>19</v>
      </c>
      <c r="E16" s="166">
        <v>25.7</v>
      </c>
      <c r="F16" s="166">
        <v>27.700000000000003</v>
      </c>
      <c r="G16" s="166">
        <v>28.4</v>
      </c>
      <c r="H16" s="166"/>
      <c r="I16" s="166"/>
      <c r="J16" s="166"/>
      <c r="K16" s="166"/>
      <c r="L16" s="166"/>
      <c r="M16" s="166"/>
      <c r="N16" s="223"/>
      <c r="O16" s="223"/>
      <c r="P16" s="223"/>
      <c r="Q16" s="223"/>
      <c r="R16" s="223"/>
      <c r="S16" s="223"/>
      <c r="T16" s="64"/>
      <c r="U16" s="64"/>
      <c r="V16" s="64"/>
      <c r="W16" s="64"/>
      <c r="X16" s="64"/>
    </row>
    <row r="17" spans="1:24" ht="15" x14ac:dyDescent="0.25">
      <c r="A17" s="151" t="s">
        <v>49</v>
      </c>
      <c r="B17" s="152" t="s">
        <v>158</v>
      </c>
      <c r="C17" s="166"/>
      <c r="D17" s="166"/>
      <c r="E17" s="166"/>
      <c r="F17" s="166">
        <v>27.6</v>
      </c>
      <c r="G17" s="166">
        <v>28.4</v>
      </c>
      <c r="H17" s="166">
        <v>28.799999999999997</v>
      </c>
      <c r="I17" s="166">
        <v>28.9</v>
      </c>
      <c r="J17" s="166">
        <v>28.799999999999997</v>
      </c>
      <c r="K17" s="166">
        <v>28.307677318784101</v>
      </c>
      <c r="L17" s="166">
        <v>27.321772170397253</v>
      </c>
      <c r="M17" s="166">
        <v>26.8</v>
      </c>
      <c r="N17" s="223"/>
      <c r="O17" s="223"/>
      <c r="P17" s="223"/>
      <c r="Q17" s="223"/>
      <c r="R17" s="223"/>
      <c r="S17" s="223"/>
      <c r="T17" s="64"/>
      <c r="U17" s="64"/>
      <c r="V17" s="64"/>
      <c r="W17" s="64"/>
      <c r="X17" s="64"/>
    </row>
    <row r="18" spans="1:24" ht="52.5" customHeight="1" x14ac:dyDescent="0.25">
      <c r="A18" s="394" t="s">
        <v>347</v>
      </c>
      <c r="B18" s="394"/>
      <c r="C18" s="394"/>
      <c r="D18" s="394"/>
      <c r="E18" s="394"/>
      <c r="F18" s="394"/>
      <c r="G18" s="394"/>
      <c r="H18" s="394"/>
      <c r="I18" s="394"/>
      <c r="J18" s="311"/>
      <c r="K18" s="311"/>
      <c r="L18" s="311"/>
      <c r="M18" s="64"/>
      <c r="N18" s="64"/>
      <c r="O18" s="64"/>
      <c r="P18" s="64"/>
      <c r="Q18" s="64"/>
      <c r="R18" s="64"/>
      <c r="S18" s="64"/>
      <c r="T18" s="64"/>
      <c r="U18" s="64"/>
      <c r="V18" s="64"/>
      <c r="W18" s="64"/>
      <c r="X18" s="64"/>
    </row>
    <row r="19" spans="1:24" ht="15" customHeight="1" x14ac:dyDescent="0.25">
      <c r="A19" s="394" t="s">
        <v>350</v>
      </c>
      <c r="B19" s="394"/>
      <c r="C19" s="394"/>
      <c r="D19" s="394"/>
      <c r="E19" s="394"/>
      <c r="F19" s="394"/>
      <c r="G19" s="394"/>
      <c r="H19" s="394"/>
      <c r="I19" s="394"/>
      <c r="J19" s="64"/>
      <c r="K19" s="64"/>
      <c r="L19" s="311"/>
      <c r="M19" s="64"/>
      <c r="N19" s="64"/>
      <c r="O19" s="64"/>
      <c r="P19" s="64"/>
      <c r="Q19" s="64"/>
      <c r="R19" s="64"/>
      <c r="S19" s="64"/>
      <c r="T19" s="64"/>
      <c r="U19" s="64"/>
      <c r="V19" s="64"/>
      <c r="W19" s="64"/>
      <c r="X19" s="64"/>
    </row>
    <row r="20" spans="1:24" ht="28.5" customHeight="1" x14ac:dyDescent="0.25">
      <c r="A20" s="395" t="s">
        <v>161</v>
      </c>
      <c r="B20" s="395"/>
      <c r="C20" s="395"/>
      <c r="D20" s="395"/>
      <c r="E20" s="395"/>
      <c r="F20" s="395"/>
      <c r="G20" s="395"/>
      <c r="H20" s="395"/>
      <c r="I20" s="395"/>
      <c r="J20" s="64"/>
      <c r="K20" s="64"/>
      <c r="L20" s="64"/>
      <c r="M20" s="64"/>
      <c r="N20" s="64"/>
      <c r="O20" s="64"/>
      <c r="P20" s="64"/>
      <c r="Q20" s="64"/>
      <c r="R20" s="64"/>
      <c r="S20" s="64"/>
      <c r="T20" s="64"/>
      <c r="U20" s="64"/>
      <c r="V20" s="64"/>
      <c r="W20" s="64"/>
      <c r="X20" s="64"/>
    </row>
    <row r="21" spans="1:24" ht="12.75" customHeight="1" x14ac:dyDescent="0.2">
      <c r="A21" s="396" t="s">
        <v>349</v>
      </c>
      <c r="B21" s="396"/>
      <c r="C21" s="396"/>
      <c r="D21" s="295"/>
      <c r="E21" s="25"/>
      <c r="F21" s="25"/>
      <c r="G21" s="25"/>
      <c r="H21" s="25"/>
    </row>
    <row r="22" spans="1:24" ht="29.25" customHeight="1" x14ac:dyDescent="0.2">
      <c r="A22" s="396" t="s">
        <v>348</v>
      </c>
      <c r="B22" s="396"/>
      <c r="C22" s="396"/>
      <c r="D22" s="396"/>
      <c r="E22" s="396"/>
      <c r="F22" s="396"/>
      <c r="G22" s="396"/>
      <c r="H22" s="396"/>
    </row>
    <row r="23" spans="1:24" ht="15"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row>
    <row r="24" spans="1:24" ht="15"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row>
    <row r="25" spans="1:24" ht="15"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row>
  </sheetData>
  <mergeCells count="14">
    <mergeCell ref="A19:I19"/>
    <mergeCell ref="A20:I20"/>
    <mergeCell ref="A21:C21"/>
    <mergeCell ref="A22:H22"/>
    <mergeCell ref="A3:B3"/>
    <mergeCell ref="A4:B4"/>
    <mergeCell ref="A5:B5"/>
    <mergeCell ref="A6:B6"/>
    <mergeCell ref="A7:B7"/>
    <mergeCell ref="A8:B8"/>
    <mergeCell ref="A9:B9"/>
    <mergeCell ref="A10:B10"/>
    <mergeCell ref="A11:B11"/>
    <mergeCell ref="A18:I18"/>
  </mergeCells>
  <hyperlinks>
    <hyperlink ref="A2" location="Sommaire!A2"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78"/>
  <sheetViews>
    <sheetView showGridLines="0" zoomScaleNormal="100" workbookViewId="0">
      <pane xSplit="1" ySplit="4" topLeftCell="B35" activePane="bottomRight" state="frozen"/>
      <selection pane="topRight" activeCell="B1" sqref="B1"/>
      <selection pane="bottomLeft" activeCell="A4" sqref="A4"/>
      <selection pane="bottomRight"/>
    </sheetView>
  </sheetViews>
  <sheetFormatPr baseColWidth="10" defaultRowHeight="12.75" x14ac:dyDescent="0.2"/>
  <cols>
    <col min="1" max="1" width="26" style="6" customWidth="1"/>
    <col min="2" max="2" width="12.42578125" style="6" customWidth="1"/>
    <col min="3" max="3" width="13.85546875" style="6" customWidth="1"/>
    <col min="4" max="4" width="12.42578125" style="6" customWidth="1"/>
    <col min="5" max="5" width="17.7109375" style="6" customWidth="1"/>
    <col min="6" max="7" width="12.42578125" style="6" customWidth="1"/>
    <col min="8" max="8" width="15.28515625" style="6" customWidth="1"/>
    <col min="9" max="9" width="14.85546875" style="6" customWidth="1"/>
    <col min="10" max="10" width="15.7109375" style="6" customWidth="1"/>
    <col min="11" max="11" width="12.42578125" style="6" customWidth="1"/>
    <col min="12" max="12" width="15.140625" style="6" customWidth="1"/>
    <col min="13" max="13" width="12.7109375" style="39" customWidth="1"/>
    <col min="14" max="16384" width="11.42578125" style="6"/>
  </cols>
  <sheetData>
    <row r="1" spans="1:13" s="5" customFormat="1" ht="15" customHeight="1" x14ac:dyDescent="0.25">
      <c r="A1" s="319" t="s">
        <v>306</v>
      </c>
      <c r="B1" s="320"/>
      <c r="C1" s="320"/>
      <c r="D1" s="320"/>
      <c r="E1" s="320"/>
      <c r="F1" s="320"/>
      <c r="G1" s="320"/>
      <c r="H1" s="320"/>
      <c r="I1" s="320"/>
      <c r="J1" s="320"/>
      <c r="K1" s="320"/>
      <c r="L1" s="320"/>
      <c r="M1" s="321"/>
    </row>
    <row r="2" spans="1:13" s="5" customFormat="1" ht="13.5" customHeight="1" x14ac:dyDescent="0.2">
      <c r="A2" s="191" t="s">
        <v>215</v>
      </c>
      <c r="B2" s="320"/>
      <c r="C2" s="320"/>
      <c r="D2" s="320"/>
      <c r="E2" s="320"/>
      <c r="F2" s="320"/>
      <c r="G2" s="320"/>
      <c r="H2" s="320"/>
      <c r="I2" s="320"/>
      <c r="J2" s="320"/>
      <c r="K2" s="320"/>
      <c r="L2" s="320"/>
      <c r="M2" s="321"/>
    </row>
    <row r="3" spans="1:13" s="5" customFormat="1" ht="13.5" customHeight="1" x14ac:dyDescent="0.2">
      <c r="A3" s="388" t="s">
        <v>346</v>
      </c>
      <c r="B3" s="320"/>
      <c r="C3" s="320"/>
      <c r="D3" s="320"/>
      <c r="E3" s="320"/>
      <c r="F3" s="320"/>
      <c r="G3" s="320"/>
      <c r="H3" s="320"/>
      <c r="I3" s="320"/>
      <c r="J3" s="320"/>
      <c r="K3" s="320"/>
      <c r="L3" s="320"/>
      <c r="M3" s="321"/>
    </row>
    <row r="4" spans="1:13" ht="76.5" x14ac:dyDescent="0.2">
      <c r="A4" s="322" t="s">
        <v>10</v>
      </c>
      <c r="B4" s="322" t="s">
        <v>43</v>
      </c>
      <c r="C4" s="322" t="s">
        <v>0</v>
      </c>
      <c r="D4" s="322" t="s">
        <v>268</v>
      </c>
      <c r="E4" s="322" t="s">
        <v>1</v>
      </c>
      <c r="F4" s="322" t="s">
        <v>234</v>
      </c>
      <c r="G4" s="322" t="s">
        <v>265</v>
      </c>
      <c r="H4" s="322" t="s">
        <v>45</v>
      </c>
      <c r="I4" s="322" t="s">
        <v>115</v>
      </c>
      <c r="J4" s="322" t="s">
        <v>50</v>
      </c>
      <c r="K4" s="322" t="s">
        <v>2</v>
      </c>
      <c r="L4" s="322" t="s">
        <v>9</v>
      </c>
      <c r="M4" s="322" t="s">
        <v>243</v>
      </c>
    </row>
    <row r="5" spans="1:13" ht="16.5" customHeight="1" x14ac:dyDescent="0.2">
      <c r="A5" s="323" t="s">
        <v>11</v>
      </c>
      <c r="B5" s="324">
        <v>52864</v>
      </c>
      <c r="C5" s="324">
        <v>4334</v>
      </c>
      <c r="D5" s="324">
        <v>4107</v>
      </c>
      <c r="E5" s="324">
        <v>17191</v>
      </c>
      <c r="F5" s="324">
        <v>10669</v>
      </c>
      <c r="G5" s="324">
        <v>7804</v>
      </c>
      <c r="H5" s="324">
        <v>3672</v>
      </c>
      <c r="I5" s="324">
        <v>6635</v>
      </c>
      <c r="J5" s="325">
        <v>7399</v>
      </c>
      <c r="K5" s="324">
        <v>5790</v>
      </c>
      <c r="L5" s="324">
        <v>120465</v>
      </c>
      <c r="M5" s="326">
        <v>1.3341296612521976</v>
      </c>
    </row>
    <row r="6" spans="1:13" ht="16.5" customHeight="1" x14ac:dyDescent="0.2">
      <c r="A6" s="323" t="s">
        <v>12</v>
      </c>
      <c r="B6" s="324">
        <v>19498</v>
      </c>
      <c r="C6" s="324">
        <v>6003</v>
      </c>
      <c r="D6" s="324">
        <v>3535</v>
      </c>
      <c r="E6" s="324">
        <v>6161</v>
      </c>
      <c r="F6" s="324">
        <v>6812</v>
      </c>
      <c r="G6" s="324">
        <v>3752</v>
      </c>
      <c r="H6" s="324">
        <v>2464</v>
      </c>
      <c r="I6" s="324">
        <v>464</v>
      </c>
      <c r="J6" s="325">
        <v>4577</v>
      </c>
      <c r="K6" s="324">
        <v>925</v>
      </c>
      <c r="L6" s="324">
        <v>54191</v>
      </c>
      <c r="M6" s="326">
        <v>1.7977232595709509</v>
      </c>
    </row>
    <row r="7" spans="1:13" ht="16.5" customHeight="1" x14ac:dyDescent="0.2">
      <c r="A7" s="323" t="s">
        <v>13</v>
      </c>
      <c r="B7" s="324">
        <v>14670</v>
      </c>
      <c r="C7" s="324">
        <v>2864</v>
      </c>
      <c r="D7" s="324">
        <v>2287</v>
      </c>
      <c r="E7" s="324">
        <v>5751</v>
      </c>
      <c r="F7" s="324">
        <v>4120</v>
      </c>
      <c r="G7" s="324">
        <v>2739</v>
      </c>
      <c r="H7" s="324">
        <v>1420</v>
      </c>
      <c r="I7" s="324">
        <v>714</v>
      </c>
      <c r="J7" s="325">
        <v>2486</v>
      </c>
      <c r="K7" s="324">
        <v>537</v>
      </c>
      <c r="L7" s="324">
        <v>37588</v>
      </c>
      <c r="M7" s="326">
        <v>-0.57925780940037552</v>
      </c>
    </row>
    <row r="8" spans="1:13" ht="16.5" customHeight="1" x14ac:dyDescent="0.2">
      <c r="A8" s="323" t="s">
        <v>14</v>
      </c>
      <c r="B8" s="324">
        <v>51439</v>
      </c>
      <c r="C8" s="324">
        <v>5705</v>
      </c>
      <c r="D8" s="324">
        <v>4782</v>
      </c>
      <c r="E8" s="324">
        <v>20189</v>
      </c>
      <c r="F8" s="324">
        <v>12045</v>
      </c>
      <c r="G8" s="324">
        <v>7743</v>
      </c>
      <c r="H8" s="324">
        <v>4161</v>
      </c>
      <c r="I8" s="324">
        <v>18270</v>
      </c>
      <c r="J8" s="325">
        <v>6848</v>
      </c>
      <c r="K8" s="324">
        <v>10404</v>
      </c>
      <c r="L8" s="324">
        <v>141586</v>
      </c>
      <c r="M8" s="326">
        <v>1.9895695268829598</v>
      </c>
    </row>
    <row r="9" spans="1:13" ht="16.5" customHeight="1" x14ac:dyDescent="0.2">
      <c r="A9" s="323" t="s">
        <v>15</v>
      </c>
      <c r="B9" s="324">
        <v>21489</v>
      </c>
      <c r="C9" s="324">
        <v>2541</v>
      </c>
      <c r="D9" s="324">
        <v>2693</v>
      </c>
      <c r="E9" s="324">
        <v>7503</v>
      </c>
      <c r="F9" s="324">
        <v>5490</v>
      </c>
      <c r="G9" s="324">
        <v>2362</v>
      </c>
      <c r="H9" s="324">
        <v>1805</v>
      </c>
      <c r="I9" s="324">
        <v>1993</v>
      </c>
      <c r="J9" s="325">
        <v>3110</v>
      </c>
      <c r="K9" s="324">
        <v>4009</v>
      </c>
      <c r="L9" s="324">
        <v>52995</v>
      </c>
      <c r="M9" s="326">
        <v>1.2185572129801172</v>
      </c>
    </row>
    <row r="10" spans="1:13" ht="16.5" customHeight="1" x14ac:dyDescent="0.2">
      <c r="A10" s="323" t="s">
        <v>16</v>
      </c>
      <c r="B10" s="324">
        <v>2988</v>
      </c>
      <c r="C10" s="324">
        <v>51</v>
      </c>
      <c r="D10" s="324">
        <v>491</v>
      </c>
      <c r="E10" s="324">
        <v>945</v>
      </c>
      <c r="F10" s="324">
        <v>560</v>
      </c>
      <c r="G10" s="324">
        <v>295</v>
      </c>
      <c r="H10" s="324">
        <v>92</v>
      </c>
      <c r="I10" s="324">
        <v>27</v>
      </c>
      <c r="J10" s="325">
        <v>410</v>
      </c>
      <c r="K10" s="324">
        <v>160</v>
      </c>
      <c r="L10" s="324">
        <v>6019</v>
      </c>
      <c r="M10" s="326">
        <v>1.6379601485984465</v>
      </c>
    </row>
    <row r="11" spans="1:13" ht="16.5" customHeight="1" x14ac:dyDescent="0.2">
      <c r="A11" s="323" t="s">
        <v>17</v>
      </c>
      <c r="B11" s="324">
        <v>18223</v>
      </c>
      <c r="C11" s="324">
        <v>2250</v>
      </c>
      <c r="D11" s="324">
        <v>2691</v>
      </c>
      <c r="E11" s="324">
        <v>8082</v>
      </c>
      <c r="F11" s="324">
        <v>5409</v>
      </c>
      <c r="G11" s="324">
        <v>3068</v>
      </c>
      <c r="H11" s="324">
        <v>2232</v>
      </c>
      <c r="I11" s="324">
        <v>2539</v>
      </c>
      <c r="J11" s="325">
        <v>3176</v>
      </c>
      <c r="K11" s="324">
        <v>1770</v>
      </c>
      <c r="L11" s="324">
        <v>49440</v>
      </c>
      <c r="M11" s="326">
        <v>0.74581244650935319</v>
      </c>
    </row>
    <row r="12" spans="1:13" ht="16.5" customHeight="1" x14ac:dyDescent="0.2">
      <c r="A12" s="323" t="s">
        <v>18</v>
      </c>
      <c r="B12" s="324">
        <v>39410</v>
      </c>
      <c r="C12" s="324">
        <v>6279</v>
      </c>
      <c r="D12" s="324">
        <v>6959</v>
      </c>
      <c r="E12" s="324">
        <v>14872</v>
      </c>
      <c r="F12" s="324">
        <v>10115</v>
      </c>
      <c r="G12" s="324">
        <v>7808</v>
      </c>
      <c r="H12" s="324">
        <v>3521</v>
      </c>
      <c r="I12" s="324">
        <v>7708</v>
      </c>
      <c r="J12" s="325">
        <v>5313</v>
      </c>
      <c r="K12" s="324">
        <v>2753</v>
      </c>
      <c r="L12" s="324">
        <v>104738</v>
      </c>
      <c r="M12" s="326">
        <v>2.0609415043411321</v>
      </c>
    </row>
    <row r="13" spans="1:13" ht="16.5" customHeight="1" x14ac:dyDescent="0.2">
      <c r="A13" s="323" t="s">
        <v>19</v>
      </c>
      <c r="B13" s="324">
        <v>88898</v>
      </c>
      <c r="C13" s="324">
        <v>12056</v>
      </c>
      <c r="D13" s="324">
        <v>7466</v>
      </c>
      <c r="E13" s="324">
        <v>23575</v>
      </c>
      <c r="F13" s="324">
        <v>19711</v>
      </c>
      <c r="G13" s="324">
        <v>7895</v>
      </c>
      <c r="H13" s="324">
        <v>6416</v>
      </c>
      <c r="I13" s="324">
        <v>16805</v>
      </c>
      <c r="J13" s="325">
        <v>11341</v>
      </c>
      <c r="K13" s="324">
        <v>7672</v>
      </c>
      <c r="L13" s="324">
        <v>201835</v>
      </c>
      <c r="M13" s="326">
        <v>4.2924021330246784</v>
      </c>
    </row>
    <row r="14" spans="1:13" ht="16.5" customHeight="1" x14ac:dyDescent="0.2">
      <c r="A14" s="323" t="s">
        <v>20</v>
      </c>
      <c r="B14" s="324">
        <v>9953</v>
      </c>
      <c r="C14" s="324">
        <v>1156</v>
      </c>
      <c r="D14" s="324">
        <v>1700</v>
      </c>
      <c r="E14" s="324">
        <v>5213</v>
      </c>
      <c r="F14" s="324">
        <v>3375</v>
      </c>
      <c r="G14" s="324">
        <v>886</v>
      </c>
      <c r="H14" s="324">
        <v>753</v>
      </c>
      <c r="I14" s="324">
        <v>87</v>
      </c>
      <c r="J14" s="325">
        <v>2138</v>
      </c>
      <c r="K14" s="324">
        <v>468</v>
      </c>
      <c r="L14" s="324">
        <v>25729</v>
      </c>
      <c r="M14" s="326">
        <v>-0.57577865368266479</v>
      </c>
    </row>
    <row r="15" spans="1:13" ht="16.5" customHeight="1" x14ac:dyDescent="0.2">
      <c r="A15" s="323" t="s">
        <v>21</v>
      </c>
      <c r="B15" s="324">
        <v>77996</v>
      </c>
      <c r="C15" s="324">
        <v>16782</v>
      </c>
      <c r="D15" s="324">
        <v>7138</v>
      </c>
      <c r="E15" s="324">
        <v>34440</v>
      </c>
      <c r="F15" s="324">
        <v>11626</v>
      </c>
      <c r="G15" s="324">
        <v>10090</v>
      </c>
      <c r="H15" s="324">
        <v>7290</v>
      </c>
      <c r="I15" s="324">
        <v>24994</v>
      </c>
      <c r="J15" s="325">
        <v>7420</v>
      </c>
      <c r="K15" s="324">
        <v>21766</v>
      </c>
      <c r="L15" s="324">
        <v>219542</v>
      </c>
      <c r="M15" s="326">
        <v>4.0759632888349513</v>
      </c>
    </row>
    <row r="16" spans="1:13" ht="16.5" customHeight="1" x14ac:dyDescent="0.2">
      <c r="A16" s="323" t="s">
        <v>22</v>
      </c>
      <c r="B16" s="324">
        <v>57452</v>
      </c>
      <c r="C16" s="324">
        <v>3916</v>
      </c>
      <c r="D16" s="324">
        <v>3736</v>
      </c>
      <c r="E16" s="324">
        <v>19464</v>
      </c>
      <c r="F16" s="324">
        <v>10774</v>
      </c>
      <c r="G16" s="324">
        <v>6963</v>
      </c>
      <c r="H16" s="324">
        <v>3376</v>
      </c>
      <c r="I16" s="324">
        <v>6644</v>
      </c>
      <c r="J16" s="325">
        <v>5249</v>
      </c>
      <c r="K16" s="324">
        <v>6603</v>
      </c>
      <c r="L16" s="324">
        <v>124177</v>
      </c>
      <c r="M16" s="326">
        <v>2.8185107598552657</v>
      </c>
    </row>
    <row r="17" spans="1:13" ht="16.5" customHeight="1" x14ac:dyDescent="0.2">
      <c r="A17" s="323" t="s">
        <v>23</v>
      </c>
      <c r="B17" s="324">
        <v>37328</v>
      </c>
      <c r="C17" s="324">
        <v>7049</v>
      </c>
      <c r="D17" s="324">
        <v>5729</v>
      </c>
      <c r="E17" s="324">
        <v>12010</v>
      </c>
      <c r="F17" s="324">
        <v>8445</v>
      </c>
      <c r="G17" s="324">
        <v>4752</v>
      </c>
      <c r="H17" s="324">
        <v>2697</v>
      </c>
      <c r="I17" s="324">
        <v>2948</v>
      </c>
      <c r="J17" s="325">
        <v>5630</v>
      </c>
      <c r="K17" s="324">
        <v>2972</v>
      </c>
      <c r="L17" s="324">
        <v>89560</v>
      </c>
      <c r="M17" s="326">
        <v>-1.3667250360678846</v>
      </c>
    </row>
    <row r="18" spans="1:13" ht="16.5" customHeight="1" x14ac:dyDescent="0.2">
      <c r="A18" s="323" t="s">
        <v>24</v>
      </c>
      <c r="B18" s="324">
        <v>59659</v>
      </c>
      <c r="C18" s="324">
        <v>11156</v>
      </c>
      <c r="D18" s="324">
        <v>5542</v>
      </c>
      <c r="E18" s="324">
        <v>18094</v>
      </c>
      <c r="F18" s="324">
        <v>15644</v>
      </c>
      <c r="G18" s="324">
        <v>10599</v>
      </c>
      <c r="H18" s="324">
        <v>5196</v>
      </c>
      <c r="I18" s="324">
        <v>11135</v>
      </c>
      <c r="J18" s="325">
        <v>6242</v>
      </c>
      <c r="K18" s="324">
        <v>10176</v>
      </c>
      <c r="L18" s="324">
        <v>153443</v>
      </c>
      <c r="M18" s="326">
        <v>1.5123348571352966</v>
      </c>
    </row>
    <row r="19" spans="1:13" ht="16.5" customHeight="1" x14ac:dyDescent="0.2">
      <c r="A19" s="323" t="s">
        <v>25</v>
      </c>
      <c r="B19" s="324">
        <v>27756</v>
      </c>
      <c r="C19" s="324">
        <v>2502</v>
      </c>
      <c r="D19" s="324">
        <v>3373</v>
      </c>
      <c r="E19" s="324">
        <v>8414</v>
      </c>
      <c r="F19" s="324">
        <v>6213</v>
      </c>
      <c r="G19" s="324">
        <v>4609</v>
      </c>
      <c r="H19" s="324">
        <v>2823</v>
      </c>
      <c r="I19" s="324">
        <v>7496</v>
      </c>
      <c r="J19" s="325">
        <v>3937</v>
      </c>
      <c r="K19" s="324">
        <v>2136</v>
      </c>
      <c r="L19" s="324">
        <v>69259</v>
      </c>
      <c r="M19" s="326">
        <v>3.6594126979375576</v>
      </c>
    </row>
    <row r="20" spans="1:13" ht="17.25" customHeight="1" x14ac:dyDescent="0.2">
      <c r="A20" s="323" t="s">
        <v>189</v>
      </c>
      <c r="B20" s="324">
        <v>47489</v>
      </c>
      <c r="C20" s="324">
        <v>7229</v>
      </c>
      <c r="D20" s="324">
        <v>6562</v>
      </c>
      <c r="E20" s="324">
        <v>14392</v>
      </c>
      <c r="F20" s="324">
        <v>11456</v>
      </c>
      <c r="G20" s="324">
        <v>7363</v>
      </c>
      <c r="H20" s="324">
        <v>3138</v>
      </c>
      <c r="I20" s="324">
        <v>8561</v>
      </c>
      <c r="J20" s="325">
        <v>6888</v>
      </c>
      <c r="K20" s="324">
        <v>3205</v>
      </c>
      <c r="L20" s="324">
        <v>116283</v>
      </c>
      <c r="M20" s="326">
        <v>1.5199664751794102</v>
      </c>
    </row>
    <row r="21" spans="1:13" ht="16.5" customHeight="1" x14ac:dyDescent="0.2">
      <c r="A21" s="323" t="s">
        <v>26</v>
      </c>
      <c r="B21" s="324">
        <v>29939</v>
      </c>
      <c r="C21" s="324">
        <v>3084</v>
      </c>
      <c r="D21" s="324">
        <v>4007</v>
      </c>
      <c r="E21" s="324">
        <v>9381</v>
      </c>
      <c r="F21" s="324">
        <v>8455</v>
      </c>
      <c r="G21" s="324">
        <v>5531</v>
      </c>
      <c r="H21" s="324">
        <v>3328</v>
      </c>
      <c r="I21" s="324">
        <v>1621</v>
      </c>
      <c r="J21" s="325">
        <v>5391</v>
      </c>
      <c r="K21" s="324">
        <v>1682</v>
      </c>
      <c r="L21" s="324">
        <v>72419</v>
      </c>
      <c r="M21" s="326">
        <v>2.2058823529411766</v>
      </c>
    </row>
    <row r="22" spans="1:13" ht="16.5" customHeight="1" x14ac:dyDescent="0.2">
      <c r="A22" s="323" t="s">
        <v>27</v>
      </c>
      <c r="B22" s="324">
        <v>27811</v>
      </c>
      <c r="C22" s="324">
        <v>2914</v>
      </c>
      <c r="D22" s="324">
        <v>2933</v>
      </c>
      <c r="E22" s="324">
        <v>5407</v>
      </c>
      <c r="F22" s="324">
        <v>5472</v>
      </c>
      <c r="G22" s="324">
        <v>4253</v>
      </c>
      <c r="H22" s="324">
        <v>1163</v>
      </c>
      <c r="I22" s="324">
        <v>3990</v>
      </c>
      <c r="J22" s="325">
        <v>3114</v>
      </c>
      <c r="K22" s="324">
        <v>1322</v>
      </c>
      <c r="L22" s="324">
        <v>58379</v>
      </c>
      <c r="M22" s="326">
        <v>2.2059209720058126</v>
      </c>
    </row>
    <row r="23" spans="1:13" ht="16.5" customHeight="1" x14ac:dyDescent="0.2">
      <c r="A23" s="323" t="s">
        <v>28</v>
      </c>
      <c r="B23" s="324">
        <v>15944</v>
      </c>
      <c r="C23" s="324">
        <v>2894</v>
      </c>
      <c r="D23" s="324">
        <v>3019</v>
      </c>
      <c r="E23" s="324">
        <v>5938</v>
      </c>
      <c r="F23" s="324">
        <v>5541</v>
      </c>
      <c r="G23" s="324">
        <v>2371</v>
      </c>
      <c r="H23" s="324">
        <v>1991</v>
      </c>
      <c r="I23" s="324">
        <v>6148</v>
      </c>
      <c r="J23" s="325">
        <v>2568</v>
      </c>
      <c r="K23" s="324">
        <v>1132</v>
      </c>
      <c r="L23" s="324">
        <v>47546</v>
      </c>
      <c r="M23" s="326">
        <v>-0.19102798245061611</v>
      </c>
    </row>
    <row r="24" spans="1:13" ht="16.5" customHeight="1" x14ac:dyDescent="0.2">
      <c r="A24" s="323" t="s">
        <v>29</v>
      </c>
      <c r="B24" s="324">
        <v>62638</v>
      </c>
      <c r="C24" s="324">
        <v>10183</v>
      </c>
      <c r="D24" s="324">
        <v>6540</v>
      </c>
      <c r="E24" s="324">
        <v>17961</v>
      </c>
      <c r="F24" s="324">
        <v>14641</v>
      </c>
      <c r="G24" s="324">
        <v>7314</v>
      </c>
      <c r="H24" s="324">
        <v>4661</v>
      </c>
      <c r="I24" s="324">
        <v>11074</v>
      </c>
      <c r="J24" s="325">
        <v>6145</v>
      </c>
      <c r="K24" s="324">
        <v>5846</v>
      </c>
      <c r="L24" s="324">
        <v>147003</v>
      </c>
      <c r="M24" s="326">
        <v>3.5706485363018285</v>
      </c>
    </row>
    <row r="25" spans="1:13" ht="16.5" customHeight="1" x14ac:dyDescent="0.2">
      <c r="A25" s="323" t="s">
        <v>30</v>
      </c>
      <c r="B25" s="324">
        <v>40399</v>
      </c>
      <c r="C25" s="324">
        <v>4747</v>
      </c>
      <c r="D25" s="324">
        <v>3791</v>
      </c>
      <c r="E25" s="324">
        <v>15622</v>
      </c>
      <c r="F25" s="324">
        <v>6325</v>
      </c>
      <c r="G25" s="324">
        <v>4499</v>
      </c>
      <c r="H25" s="324">
        <v>2960</v>
      </c>
      <c r="I25" s="324">
        <v>993</v>
      </c>
      <c r="J25" s="325">
        <v>4233</v>
      </c>
      <c r="K25" s="324">
        <v>4358</v>
      </c>
      <c r="L25" s="324">
        <v>87927</v>
      </c>
      <c r="M25" s="326">
        <v>2.0982350209010683</v>
      </c>
    </row>
    <row r="26" spans="1:13" ht="16.5" customHeight="1" x14ac:dyDescent="0.2">
      <c r="A26" s="323" t="s">
        <v>31</v>
      </c>
      <c r="B26" s="324">
        <v>65206</v>
      </c>
      <c r="C26" s="324">
        <v>12052</v>
      </c>
      <c r="D26" s="324">
        <v>6346</v>
      </c>
      <c r="E26" s="324">
        <v>15932</v>
      </c>
      <c r="F26" s="324">
        <v>12675</v>
      </c>
      <c r="G26" s="324">
        <v>6187</v>
      </c>
      <c r="H26" s="324">
        <v>5077</v>
      </c>
      <c r="I26" s="324">
        <v>9934</v>
      </c>
      <c r="J26" s="325">
        <v>5464</v>
      </c>
      <c r="K26" s="324">
        <v>7356</v>
      </c>
      <c r="L26" s="324">
        <v>146229</v>
      </c>
      <c r="M26" s="326">
        <v>-0.53599243624886916</v>
      </c>
    </row>
    <row r="27" spans="1:13" ht="16.5" customHeight="1" x14ac:dyDescent="0.2">
      <c r="A27" s="327" t="s">
        <v>32</v>
      </c>
      <c r="B27" s="328">
        <f>SUM(B5:B26)</f>
        <v>869049</v>
      </c>
      <c r="C27" s="328">
        <f t="shared" ref="C27:K27" si="0">SUM(C5:C26)</f>
        <v>127747</v>
      </c>
      <c r="D27" s="328">
        <f t="shared" si="0"/>
        <v>95427</v>
      </c>
      <c r="E27" s="328">
        <f t="shared" si="0"/>
        <v>286537</v>
      </c>
      <c r="F27" s="328">
        <f t="shared" si="0"/>
        <v>195573</v>
      </c>
      <c r="G27" s="328">
        <f t="shared" si="0"/>
        <v>118883</v>
      </c>
      <c r="H27" s="328">
        <f t="shared" si="0"/>
        <v>70236</v>
      </c>
      <c r="I27" s="328">
        <f t="shared" si="0"/>
        <v>150780</v>
      </c>
      <c r="J27" s="328">
        <f t="shared" si="0"/>
        <v>109079</v>
      </c>
      <c r="K27" s="328">
        <f t="shared" si="0"/>
        <v>103042</v>
      </c>
      <c r="L27" s="328">
        <f t="shared" ref="L27:L39" si="1">SUM(B27:K27)</f>
        <v>2126353</v>
      </c>
      <c r="M27" s="329">
        <v>2.0400788735800859</v>
      </c>
    </row>
    <row r="28" spans="1:13" ht="16.5" customHeight="1" x14ac:dyDescent="0.2">
      <c r="A28" s="323" t="s">
        <v>33</v>
      </c>
      <c r="B28" s="324">
        <v>134166</v>
      </c>
      <c r="C28" s="324">
        <v>10856</v>
      </c>
      <c r="D28" s="324">
        <v>2112</v>
      </c>
      <c r="E28" s="324">
        <v>74666</v>
      </c>
      <c r="F28" s="324">
        <v>15277</v>
      </c>
      <c r="G28" s="324">
        <v>14810</v>
      </c>
      <c r="H28" s="324">
        <v>16068</v>
      </c>
      <c r="I28" s="324">
        <v>53936</v>
      </c>
      <c r="J28" s="325">
        <v>10639</v>
      </c>
      <c r="K28" s="324">
        <v>58332</v>
      </c>
      <c r="L28" s="324">
        <v>390862</v>
      </c>
      <c r="M28" s="326">
        <v>5.3834643227867724</v>
      </c>
    </row>
    <row r="29" spans="1:13" ht="16.5" customHeight="1" x14ac:dyDescent="0.2">
      <c r="A29" s="323" t="s">
        <v>34</v>
      </c>
      <c r="B29" s="324">
        <v>73248</v>
      </c>
      <c r="C29" s="324">
        <v>16372</v>
      </c>
      <c r="D29" s="324">
        <v>9375</v>
      </c>
      <c r="E29" s="324">
        <v>18856</v>
      </c>
      <c r="F29" s="324">
        <v>15075</v>
      </c>
      <c r="G29" s="324">
        <v>7022</v>
      </c>
      <c r="H29" s="324">
        <v>4993</v>
      </c>
      <c r="I29" s="324">
        <v>1493</v>
      </c>
      <c r="J29" s="325">
        <v>9314</v>
      </c>
      <c r="K29" s="324">
        <v>10562</v>
      </c>
      <c r="L29" s="324">
        <v>166310</v>
      </c>
      <c r="M29" s="326">
        <v>2.3055818703017925</v>
      </c>
    </row>
    <row r="30" spans="1:13" ht="16.5" customHeight="1" x14ac:dyDescent="0.2">
      <c r="A30" s="323" t="s">
        <v>35</v>
      </c>
      <c r="B30" s="324">
        <v>89193</v>
      </c>
      <c r="C30" s="324">
        <v>20784</v>
      </c>
      <c r="D30" s="324">
        <v>6855</v>
      </c>
      <c r="E30" s="324">
        <v>19761</v>
      </c>
      <c r="F30" s="324">
        <v>15250</v>
      </c>
      <c r="G30" s="324">
        <v>12696</v>
      </c>
      <c r="H30" s="324">
        <v>10396</v>
      </c>
      <c r="I30" s="324">
        <v>32510</v>
      </c>
      <c r="J30" s="325">
        <v>9528</v>
      </c>
      <c r="K30" s="324">
        <v>13030</v>
      </c>
      <c r="L30" s="324">
        <v>230003</v>
      </c>
      <c r="M30" s="326">
        <v>2.8778587371236619</v>
      </c>
    </row>
    <row r="31" spans="1:13" ht="16.5" customHeight="1" x14ac:dyDescent="0.2">
      <c r="A31" s="327" t="s">
        <v>36</v>
      </c>
      <c r="B31" s="328">
        <f>SUM(B28:B30)</f>
        <v>296607</v>
      </c>
      <c r="C31" s="328">
        <f t="shared" ref="C31:K31" si="2">SUM(C28:C30)</f>
        <v>48012</v>
      </c>
      <c r="D31" s="328">
        <f t="shared" si="2"/>
        <v>18342</v>
      </c>
      <c r="E31" s="328">
        <f t="shared" si="2"/>
        <v>113283</v>
      </c>
      <c r="F31" s="328">
        <f t="shared" si="2"/>
        <v>45602</v>
      </c>
      <c r="G31" s="328">
        <f t="shared" si="2"/>
        <v>34528</v>
      </c>
      <c r="H31" s="328">
        <f t="shared" si="2"/>
        <v>31457</v>
      </c>
      <c r="I31" s="328">
        <f t="shared" si="2"/>
        <v>87939</v>
      </c>
      <c r="J31" s="328">
        <f t="shared" si="2"/>
        <v>29481</v>
      </c>
      <c r="K31" s="328">
        <f t="shared" si="2"/>
        <v>81924</v>
      </c>
      <c r="L31" s="328">
        <f t="shared" si="1"/>
        <v>787175</v>
      </c>
      <c r="M31" s="329">
        <v>3.9825580627349657</v>
      </c>
    </row>
    <row r="32" spans="1:13" ht="16.5" customHeight="1" x14ac:dyDescent="0.2">
      <c r="A32" s="327" t="s">
        <v>37</v>
      </c>
      <c r="B32" s="328">
        <f>SUM(B27+B31)</f>
        <v>1165656</v>
      </c>
      <c r="C32" s="328">
        <f t="shared" ref="C32:K32" si="3">SUM(C27+C31)</f>
        <v>175759</v>
      </c>
      <c r="D32" s="328">
        <f t="shared" si="3"/>
        <v>113769</v>
      </c>
      <c r="E32" s="328">
        <f t="shared" si="3"/>
        <v>399820</v>
      </c>
      <c r="F32" s="328">
        <f t="shared" si="3"/>
        <v>241175</v>
      </c>
      <c r="G32" s="328">
        <f t="shared" si="3"/>
        <v>153411</v>
      </c>
      <c r="H32" s="328">
        <f t="shared" si="3"/>
        <v>101693</v>
      </c>
      <c r="I32" s="328">
        <f t="shared" si="3"/>
        <v>238719</v>
      </c>
      <c r="J32" s="328">
        <f t="shared" si="3"/>
        <v>138560</v>
      </c>
      <c r="K32" s="328">
        <f t="shared" si="3"/>
        <v>184966</v>
      </c>
      <c r="L32" s="328">
        <f t="shared" si="1"/>
        <v>2913528</v>
      </c>
      <c r="M32" s="329">
        <v>2.5577050949586866</v>
      </c>
    </row>
    <row r="33" spans="1:13" ht="16.5" customHeight="1" x14ac:dyDescent="0.2">
      <c r="A33" s="323" t="s">
        <v>38</v>
      </c>
      <c r="B33" s="324">
        <v>4570</v>
      </c>
      <c r="C33" s="324">
        <v>54</v>
      </c>
      <c r="D33" s="324">
        <v>270</v>
      </c>
      <c r="E33" s="324">
        <v>1969</v>
      </c>
      <c r="F33" s="324">
        <v>2383</v>
      </c>
      <c r="G33" s="324">
        <v>1011</v>
      </c>
      <c r="H33" s="324">
        <v>441</v>
      </c>
      <c r="I33" s="324">
        <v>0</v>
      </c>
      <c r="J33" s="325">
        <v>574</v>
      </c>
      <c r="K33" s="324">
        <v>114</v>
      </c>
      <c r="L33" s="324">
        <v>11386</v>
      </c>
      <c r="M33" s="326">
        <v>2.0616708497669416</v>
      </c>
    </row>
    <row r="34" spans="1:13" ht="16.5" customHeight="1" x14ac:dyDescent="0.2">
      <c r="A34" s="323" t="s">
        <v>39</v>
      </c>
      <c r="B34" s="324">
        <v>3125</v>
      </c>
      <c r="C34" s="324">
        <v>0</v>
      </c>
      <c r="D34" s="324">
        <v>165</v>
      </c>
      <c r="E34" s="324">
        <v>600</v>
      </c>
      <c r="F34" s="324">
        <v>817</v>
      </c>
      <c r="G34" s="324">
        <v>363</v>
      </c>
      <c r="H34" s="324">
        <v>71</v>
      </c>
      <c r="I34" s="324">
        <v>59</v>
      </c>
      <c r="J34" s="325">
        <v>403</v>
      </c>
      <c r="K34" s="324">
        <v>55</v>
      </c>
      <c r="L34" s="324">
        <v>5658</v>
      </c>
      <c r="M34" s="326">
        <v>0.53304904051172708</v>
      </c>
    </row>
    <row r="35" spans="1:13" ht="16.5" customHeight="1" x14ac:dyDescent="0.2">
      <c r="A35" s="323" t="s">
        <v>69</v>
      </c>
      <c r="B35" s="324">
        <v>13535</v>
      </c>
      <c r="C35" s="324">
        <v>142</v>
      </c>
      <c r="D35" s="324">
        <v>684</v>
      </c>
      <c r="E35" s="324">
        <v>3065</v>
      </c>
      <c r="F35" s="324">
        <v>4224</v>
      </c>
      <c r="G35" s="324">
        <v>1297</v>
      </c>
      <c r="H35" s="324">
        <v>822</v>
      </c>
      <c r="I35" s="324">
        <v>195</v>
      </c>
      <c r="J35" s="325">
        <v>1360</v>
      </c>
      <c r="K35" s="324">
        <v>610</v>
      </c>
      <c r="L35" s="324">
        <v>25934</v>
      </c>
      <c r="M35" s="326">
        <v>0.34436061133681561</v>
      </c>
    </row>
    <row r="36" spans="1:13" ht="16.5" customHeight="1" x14ac:dyDescent="0.2">
      <c r="A36" s="323" t="s">
        <v>40</v>
      </c>
      <c r="B36" s="324">
        <v>3957</v>
      </c>
      <c r="C36" s="324">
        <v>0</v>
      </c>
      <c r="D36" s="324">
        <v>168</v>
      </c>
      <c r="E36" s="324">
        <v>1147</v>
      </c>
      <c r="F36" s="324">
        <v>2438</v>
      </c>
      <c r="G36" s="324">
        <v>591</v>
      </c>
      <c r="H36" s="324">
        <v>346</v>
      </c>
      <c r="I36" s="324">
        <v>173</v>
      </c>
      <c r="J36" s="325">
        <v>624</v>
      </c>
      <c r="K36" s="324">
        <v>275</v>
      </c>
      <c r="L36" s="324">
        <v>9719</v>
      </c>
      <c r="M36" s="326">
        <v>0.80904470490613012</v>
      </c>
    </row>
    <row r="37" spans="1:13" ht="16.5" customHeight="1" x14ac:dyDescent="0.2">
      <c r="A37" s="323" t="s">
        <v>41</v>
      </c>
      <c r="B37" s="324">
        <v>1204</v>
      </c>
      <c r="C37" s="324">
        <v>0</v>
      </c>
      <c r="D37" s="324">
        <v>0</v>
      </c>
      <c r="E37" s="324">
        <v>131</v>
      </c>
      <c r="F37" s="324">
        <v>1004</v>
      </c>
      <c r="G37" s="324">
        <v>151</v>
      </c>
      <c r="H37" s="324">
        <v>53</v>
      </c>
      <c r="I37" s="324">
        <v>0</v>
      </c>
      <c r="J37" s="325">
        <v>142</v>
      </c>
      <c r="K37" s="324">
        <v>26</v>
      </c>
      <c r="L37" s="324">
        <v>2711</v>
      </c>
      <c r="M37" s="326">
        <v>15.019092066185829</v>
      </c>
    </row>
    <row r="38" spans="1:13" ht="16.5" customHeight="1" x14ac:dyDescent="0.2">
      <c r="A38" s="327" t="s">
        <v>229</v>
      </c>
      <c r="B38" s="328">
        <f>SUM(B33:B37)</f>
        <v>26391</v>
      </c>
      <c r="C38" s="328">
        <f t="shared" ref="C38:K38" si="4">SUM(C33:C37)</f>
        <v>196</v>
      </c>
      <c r="D38" s="328">
        <f t="shared" si="4"/>
        <v>1287</v>
      </c>
      <c r="E38" s="328">
        <f t="shared" si="4"/>
        <v>6912</v>
      </c>
      <c r="F38" s="328">
        <f t="shared" si="4"/>
        <v>10866</v>
      </c>
      <c r="G38" s="328">
        <f t="shared" si="4"/>
        <v>3413</v>
      </c>
      <c r="H38" s="328">
        <f t="shared" si="4"/>
        <v>1733</v>
      </c>
      <c r="I38" s="328">
        <f t="shared" si="4"/>
        <v>427</v>
      </c>
      <c r="J38" s="328">
        <f t="shared" si="4"/>
        <v>3103</v>
      </c>
      <c r="K38" s="328">
        <f t="shared" si="4"/>
        <v>1080</v>
      </c>
      <c r="L38" s="328">
        <f t="shared" si="1"/>
        <v>55408</v>
      </c>
      <c r="M38" s="329">
        <v>1.4296959379061636</v>
      </c>
    </row>
    <row r="39" spans="1:13" ht="16.5" customHeight="1" x14ac:dyDescent="0.2">
      <c r="A39" s="327" t="s">
        <v>230</v>
      </c>
      <c r="B39" s="328">
        <f>SUM(B32+B38)</f>
        <v>1192047</v>
      </c>
      <c r="C39" s="328">
        <f t="shared" ref="C39:K39" si="5">SUM(C32+C38)</f>
        <v>175955</v>
      </c>
      <c r="D39" s="328">
        <f t="shared" si="5"/>
        <v>115056</v>
      </c>
      <c r="E39" s="328">
        <f t="shared" si="5"/>
        <v>406732</v>
      </c>
      <c r="F39" s="328">
        <f t="shared" si="5"/>
        <v>252041</v>
      </c>
      <c r="G39" s="328">
        <f t="shared" si="5"/>
        <v>156824</v>
      </c>
      <c r="H39" s="328">
        <f t="shared" si="5"/>
        <v>103426</v>
      </c>
      <c r="I39" s="328">
        <f t="shared" si="5"/>
        <v>239146</v>
      </c>
      <c r="J39" s="328">
        <f t="shared" si="5"/>
        <v>141663</v>
      </c>
      <c r="K39" s="328">
        <f t="shared" si="5"/>
        <v>186046</v>
      </c>
      <c r="L39" s="328">
        <f t="shared" si="1"/>
        <v>2968936</v>
      </c>
      <c r="M39" s="329">
        <v>2.5364238364852425</v>
      </c>
    </row>
    <row r="40" spans="1:13" x14ac:dyDescent="0.2">
      <c r="A40" s="330" t="s">
        <v>244</v>
      </c>
      <c r="B40" s="331"/>
      <c r="C40" s="331"/>
      <c r="D40" s="331"/>
      <c r="E40" s="331"/>
      <c r="F40" s="331"/>
      <c r="G40" s="331"/>
      <c r="H40" s="331"/>
      <c r="I40" s="331"/>
      <c r="J40" s="331"/>
      <c r="K40" s="331"/>
      <c r="L40" s="331"/>
      <c r="M40" s="332"/>
    </row>
    <row r="41" spans="1:13" x14ac:dyDescent="0.2">
      <c r="A41" s="333" t="s">
        <v>125</v>
      </c>
      <c r="B41" s="331"/>
      <c r="C41" s="331"/>
      <c r="D41" s="331"/>
      <c r="E41" s="331"/>
      <c r="F41" s="331"/>
      <c r="G41" s="331"/>
      <c r="H41" s="331"/>
      <c r="I41" s="331"/>
      <c r="J41" s="331"/>
      <c r="K41" s="331"/>
      <c r="L41" s="331"/>
      <c r="M41" s="332"/>
    </row>
    <row r="42" spans="1:13" x14ac:dyDescent="0.2">
      <c r="A42" s="331" t="s">
        <v>60</v>
      </c>
      <c r="B42" s="334"/>
      <c r="C42" s="334"/>
      <c r="D42" s="334"/>
      <c r="E42" s="334"/>
      <c r="F42" s="334"/>
      <c r="G42" s="334"/>
      <c r="H42" s="334"/>
      <c r="I42" s="334"/>
      <c r="J42" s="334"/>
      <c r="K42" s="334"/>
      <c r="L42" s="334"/>
      <c r="M42" s="332"/>
    </row>
    <row r="43" spans="1:13" ht="21" customHeight="1" x14ac:dyDescent="0.2">
      <c r="A43" s="407" t="s">
        <v>201</v>
      </c>
      <c r="B43" s="407"/>
      <c r="C43" s="407"/>
      <c r="D43" s="407"/>
      <c r="E43" s="407"/>
      <c r="F43" s="407"/>
      <c r="G43" s="407"/>
      <c r="H43" s="407"/>
      <c r="I43" s="407"/>
      <c r="J43" s="407"/>
      <c r="K43" s="407"/>
      <c r="L43" s="407"/>
      <c r="M43" s="407"/>
    </row>
    <row r="44" spans="1:13" ht="28.5" customHeight="1" x14ac:dyDescent="0.2">
      <c r="A44" s="407" t="s">
        <v>352</v>
      </c>
      <c r="B44" s="407"/>
      <c r="C44" s="407"/>
      <c r="D44" s="407"/>
      <c r="E44" s="407"/>
      <c r="F44" s="407"/>
      <c r="G44" s="407"/>
      <c r="H44" s="407"/>
      <c r="I44" s="407"/>
      <c r="J44" s="407"/>
      <c r="K44" s="407"/>
      <c r="L44" s="407"/>
      <c r="M44" s="407"/>
    </row>
    <row r="45" spans="1:13" x14ac:dyDescent="0.2">
      <c r="A45" s="407"/>
      <c r="B45" s="407"/>
      <c r="C45" s="407"/>
      <c r="D45" s="407"/>
      <c r="E45" s="407"/>
      <c r="F45" s="407"/>
      <c r="G45" s="407"/>
      <c r="H45" s="407"/>
      <c r="I45" s="407"/>
      <c r="J45" s="407"/>
      <c r="K45" s="407"/>
      <c r="L45" s="407"/>
      <c r="M45" s="407"/>
    </row>
    <row r="46" spans="1:13" ht="12.75" customHeight="1" x14ac:dyDescent="0.2">
      <c r="A46" s="407"/>
      <c r="B46" s="407"/>
      <c r="C46" s="407"/>
      <c r="D46" s="407"/>
      <c r="E46" s="407"/>
      <c r="F46" s="407"/>
      <c r="G46" s="407"/>
      <c r="H46" s="407"/>
      <c r="I46" s="407"/>
      <c r="J46" s="407"/>
      <c r="K46" s="407"/>
      <c r="L46" s="407"/>
      <c r="M46" s="407"/>
    </row>
    <row r="47" spans="1:13" x14ac:dyDescent="0.2">
      <c r="A47" s="407"/>
      <c r="B47" s="407"/>
      <c r="C47" s="407"/>
      <c r="D47" s="407"/>
      <c r="E47" s="407"/>
      <c r="F47" s="407"/>
      <c r="G47" s="407"/>
      <c r="H47" s="407"/>
      <c r="I47" s="407"/>
      <c r="J47" s="407"/>
      <c r="K47" s="407"/>
      <c r="L47" s="407"/>
      <c r="M47" s="407"/>
    </row>
    <row r="48" spans="1:13" x14ac:dyDescent="0.2">
      <c r="A48" s="292"/>
      <c r="B48" s="177"/>
      <c r="C48" s="177"/>
      <c r="D48" s="177"/>
      <c r="E48" s="177"/>
      <c r="F48" s="177"/>
      <c r="G48" s="177"/>
      <c r="H48" s="177"/>
      <c r="I48" s="177"/>
      <c r="J48" s="177"/>
      <c r="K48" s="177"/>
      <c r="L48" s="177"/>
    </row>
    <row r="49" spans="1:12" x14ac:dyDescent="0.2">
      <c r="A49" s="292"/>
      <c r="B49" s="177"/>
      <c r="C49" s="177"/>
      <c r="D49" s="177"/>
      <c r="E49" s="177"/>
      <c r="F49" s="177"/>
      <c r="G49" s="177"/>
      <c r="H49" s="177"/>
      <c r="I49" s="177"/>
      <c r="J49" s="177"/>
      <c r="K49" s="177"/>
      <c r="L49" s="177"/>
    </row>
    <row r="50" spans="1:12" x14ac:dyDescent="0.2">
      <c r="A50" s="292"/>
      <c r="B50" s="177"/>
      <c r="C50" s="177"/>
      <c r="D50" s="177"/>
      <c r="E50" s="177"/>
      <c r="F50" s="177"/>
      <c r="G50" s="177"/>
      <c r="H50" s="177"/>
      <c r="I50" s="177"/>
      <c r="J50" s="177"/>
      <c r="K50" s="177"/>
      <c r="L50" s="177"/>
    </row>
    <row r="51" spans="1:12" x14ac:dyDescent="0.2">
      <c r="A51" s="292"/>
      <c r="B51" s="177"/>
      <c r="C51" s="177"/>
      <c r="D51" s="177"/>
      <c r="E51" s="177"/>
      <c r="F51" s="177"/>
      <c r="G51" s="177"/>
      <c r="H51" s="177"/>
      <c r="I51" s="177"/>
      <c r="J51" s="177"/>
      <c r="K51" s="177"/>
      <c r="L51" s="177"/>
    </row>
    <row r="52" spans="1:12" x14ac:dyDescent="0.2">
      <c r="A52" s="292"/>
      <c r="B52" s="177"/>
      <c r="C52" s="177"/>
      <c r="D52" s="177"/>
      <c r="E52" s="177"/>
      <c r="F52" s="177"/>
      <c r="G52" s="177"/>
      <c r="H52" s="177"/>
      <c r="I52" s="177"/>
      <c r="J52" s="177"/>
      <c r="K52" s="177"/>
      <c r="L52" s="177"/>
    </row>
    <row r="53" spans="1:12" x14ac:dyDescent="0.2">
      <c r="A53" s="292"/>
      <c r="B53" s="177"/>
      <c r="C53" s="177"/>
      <c r="D53" s="177"/>
      <c r="E53" s="177"/>
      <c r="F53" s="177"/>
      <c r="G53" s="177"/>
      <c r="H53" s="177"/>
      <c r="I53" s="177"/>
      <c r="J53" s="177"/>
      <c r="K53" s="177"/>
      <c r="L53" s="177"/>
    </row>
    <row r="54" spans="1:12" x14ac:dyDescent="0.2">
      <c r="A54" s="292"/>
      <c r="B54" s="177"/>
      <c r="C54" s="177"/>
      <c r="D54" s="177"/>
      <c r="E54" s="177"/>
      <c r="F54" s="177"/>
      <c r="G54" s="177"/>
      <c r="H54" s="177"/>
      <c r="I54" s="177"/>
      <c r="J54" s="177"/>
      <c r="K54" s="177"/>
      <c r="L54" s="177"/>
    </row>
    <row r="55" spans="1:12" x14ac:dyDescent="0.2">
      <c r="A55" s="292"/>
      <c r="B55" s="177"/>
      <c r="C55" s="177"/>
      <c r="D55" s="177"/>
      <c r="E55" s="177"/>
      <c r="F55" s="177"/>
      <c r="G55" s="177"/>
      <c r="H55" s="177"/>
      <c r="I55" s="177"/>
      <c r="J55" s="177"/>
      <c r="K55" s="177"/>
      <c r="L55" s="177"/>
    </row>
    <row r="56" spans="1:12" x14ac:dyDescent="0.2">
      <c r="A56" s="292"/>
      <c r="B56" s="177"/>
      <c r="C56" s="177"/>
      <c r="D56" s="177"/>
      <c r="E56" s="177"/>
      <c r="F56" s="177"/>
      <c r="G56" s="177"/>
      <c r="H56" s="177"/>
      <c r="I56" s="177"/>
      <c r="J56" s="177"/>
      <c r="K56" s="177"/>
      <c r="L56" s="177"/>
    </row>
    <row r="57" spans="1:12" x14ac:dyDescent="0.2">
      <c r="A57" s="292"/>
      <c r="B57" s="177"/>
      <c r="C57" s="177"/>
      <c r="D57" s="177"/>
      <c r="E57" s="177"/>
      <c r="F57" s="177"/>
      <c r="G57" s="177"/>
      <c r="H57" s="177"/>
      <c r="I57" s="177"/>
      <c r="J57" s="177"/>
      <c r="K57" s="177"/>
      <c r="L57" s="177"/>
    </row>
    <row r="58" spans="1:12" x14ac:dyDescent="0.2">
      <c r="A58" s="292"/>
      <c r="B58" s="177"/>
      <c r="C58" s="177"/>
      <c r="D58" s="177"/>
      <c r="E58" s="177"/>
      <c r="F58" s="177"/>
      <c r="G58" s="177"/>
      <c r="H58" s="177"/>
      <c r="I58" s="177"/>
      <c r="J58" s="177"/>
      <c r="K58" s="177"/>
      <c r="L58" s="177"/>
    </row>
    <row r="59" spans="1:12" x14ac:dyDescent="0.2">
      <c r="A59" s="292"/>
      <c r="B59" s="177"/>
      <c r="C59" s="177"/>
      <c r="D59" s="177"/>
      <c r="E59" s="177"/>
      <c r="F59" s="177"/>
      <c r="G59" s="177"/>
      <c r="H59" s="177"/>
      <c r="I59" s="177"/>
      <c r="J59" s="177"/>
      <c r="K59" s="177"/>
      <c r="L59" s="177"/>
    </row>
    <row r="60" spans="1:12" x14ac:dyDescent="0.2">
      <c r="A60" s="292"/>
      <c r="B60" s="177"/>
      <c r="C60" s="177"/>
      <c r="D60" s="177"/>
      <c r="E60" s="177"/>
      <c r="F60" s="177"/>
      <c r="G60" s="177"/>
      <c r="H60" s="177"/>
      <c r="I60" s="177"/>
      <c r="J60" s="177"/>
      <c r="K60" s="177"/>
      <c r="L60" s="177"/>
    </row>
    <row r="61" spans="1:12" x14ac:dyDescent="0.2">
      <c r="A61" s="292"/>
      <c r="B61" s="177"/>
      <c r="C61" s="177"/>
      <c r="D61" s="177"/>
      <c r="E61" s="177"/>
      <c r="F61" s="177"/>
      <c r="G61" s="177"/>
      <c r="H61" s="177"/>
      <c r="I61" s="177"/>
      <c r="J61" s="177"/>
      <c r="K61" s="177"/>
      <c r="L61" s="177"/>
    </row>
    <row r="62" spans="1:12" x14ac:dyDescent="0.2">
      <c r="A62" s="292"/>
      <c r="B62" s="177"/>
      <c r="C62" s="177"/>
      <c r="D62" s="177"/>
      <c r="E62" s="177"/>
      <c r="F62" s="177"/>
      <c r="G62" s="177"/>
      <c r="H62" s="177"/>
      <c r="I62" s="177"/>
      <c r="J62" s="177"/>
      <c r="K62" s="177"/>
      <c r="L62" s="177"/>
    </row>
    <row r="63" spans="1:12" x14ac:dyDescent="0.2">
      <c r="A63" s="292"/>
      <c r="B63" s="177"/>
      <c r="C63" s="177"/>
      <c r="D63" s="177"/>
      <c r="E63" s="177"/>
      <c r="F63" s="177"/>
      <c r="G63" s="177"/>
      <c r="H63" s="177"/>
      <c r="I63" s="177"/>
      <c r="J63" s="177"/>
      <c r="K63" s="177"/>
      <c r="L63" s="177"/>
    </row>
    <row r="64" spans="1:12" x14ac:dyDescent="0.2">
      <c r="A64" s="292"/>
      <c r="B64" s="177"/>
      <c r="C64" s="177"/>
      <c r="D64" s="177"/>
      <c r="E64" s="177"/>
      <c r="F64" s="177"/>
      <c r="G64" s="177"/>
      <c r="H64" s="177"/>
      <c r="I64" s="177"/>
      <c r="J64" s="177"/>
      <c r="K64" s="177"/>
      <c r="L64" s="177"/>
    </row>
    <row r="65" spans="1:12" x14ac:dyDescent="0.2">
      <c r="A65" s="292"/>
      <c r="B65" s="177"/>
      <c r="C65" s="177"/>
      <c r="D65" s="177"/>
      <c r="E65" s="177"/>
      <c r="F65" s="177"/>
      <c r="G65" s="177"/>
      <c r="H65" s="177"/>
      <c r="I65" s="177"/>
      <c r="J65" s="177"/>
      <c r="K65" s="177"/>
      <c r="L65" s="177"/>
    </row>
    <row r="66" spans="1:12" x14ac:dyDescent="0.2">
      <c r="A66" s="292"/>
      <c r="B66" s="177"/>
      <c r="C66" s="177"/>
      <c r="D66" s="177"/>
      <c r="E66" s="177"/>
      <c r="F66" s="177"/>
      <c r="G66" s="177"/>
      <c r="H66" s="177"/>
      <c r="I66" s="177"/>
      <c r="J66" s="177"/>
      <c r="K66" s="177"/>
      <c r="L66" s="177"/>
    </row>
    <row r="67" spans="1:12" x14ac:dyDescent="0.2">
      <c r="A67" s="292"/>
      <c r="B67" s="177"/>
      <c r="C67" s="177"/>
      <c r="D67" s="177"/>
      <c r="E67" s="177"/>
      <c r="F67" s="177"/>
      <c r="G67" s="177"/>
      <c r="H67" s="177"/>
      <c r="I67" s="177"/>
      <c r="J67" s="177"/>
      <c r="K67" s="177"/>
      <c r="L67" s="177"/>
    </row>
    <row r="68" spans="1:12" x14ac:dyDescent="0.2">
      <c r="A68" s="292"/>
      <c r="B68" s="177"/>
      <c r="C68" s="177"/>
      <c r="D68" s="177"/>
      <c r="E68" s="177"/>
      <c r="F68" s="177"/>
      <c r="G68" s="177"/>
      <c r="H68" s="177"/>
      <c r="I68" s="177"/>
      <c r="J68" s="177"/>
      <c r="K68" s="177"/>
      <c r="L68" s="177"/>
    </row>
    <row r="69" spans="1:12" x14ac:dyDescent="0.2">
      <c r="A69" s="292"/>
      <c r="B69" s="177"/>
      <c r="C69" s="177"/>
      <c r="D69" s="177"/>
      <c r="E69" s="177"/>
      <c r="F69" s="177"/>
      <c r="G69" s="177"/>
      <c r="H69" s="177"/>
      <c r="I69" s="177"/>
      <c r="J69" s="177"/>
      <c r="K69" s="177"/>
      <c r="L69" s="177"/>
    </row>
    <row r="70" spans="1:12" x14ac:dyDescent="0.2">
      <c r="A70" s="292"/>
      <c r="B70" s="177"/>
      <c r="C70" s="177"/>
      <c r="D70" s="177"/>
      <c r="E70" s="177"/>
      <c r="F70" s="177"/>
      <c r="G70" s="177"/>
      <c r="H70" s="177"/>
      <c r="I70" s="177"/>
      <c r="J70" s="177"/>
      <c r="K70" s="177"/>
      <c r="L70" s="177"/>
    </row>
    <row r="71" spans="1:12" x14ac:dyDescent="0.2">
      <c r="A71" s="292"/>
      <c r="B71" s="177"/>
      <c r="C71" s="177"/>
      <c r="D71" s="177"/>
      <c r="E71" s="177"/>
      <c r="F71" s="177"/>
      <c r="G71" s="177"/>
      <c r="H71" s="177"/>
      <c r="I71" s="177"/>
      <c r="J71" s="177"/>
      <c r="K71" s="177"/>
      <c r="L71" s="177"/>
    </row>
    <row r="72" spans="1:12" x14ac:dyDescent="0.2">
      <c r="A72" s="292"/>
      <c r="B72" s="177"/>
      <c r="C72" s="177"/>
      <c r="D72" s="177"/>
      <c r="E72" s="177"/>
      <c r="F72" s="177"/>
      <c r="G72" s="177"/>
      <c r="H72" s="177"/>
      <c r="I72" s="177"/>
      <c r="J72" s="177"/>
      <c r="K72" s="177"/>
      <c r="L72" s="177"/>
    </row>
    <row r="73" spans="1:12" x14ac:dyDescent="0.2">
      <c r="A73" s="292"/>
      <c r="B73" s="177"/>
      <c r="C73" s="177"/>
      <c r="D73" s="177"/>
      <c r="E73" s="177"/>
      <c r="F73" s="177"/>
      <c r="G73" s="177"/>
      <c r="H73" s="177"/>
      <c r="I73" s="177"/>
      <c r="J73" s="177"/>
      <c r="K73" s="177"/>
      <c r="L73" s="177"/>
    </row>
    <row r="74" spans="1:12" x14ac:dyDescent="0.2">
      <c r="A74" s="292"/>
      <c r="B74" s="177"/>
      <c r="C74" s="177"/>
      <c r="D74" s="177"/>
      <c r="E74" s="177"/>
      <c r="F74" s="177"/>
      <c r="G74" s="177"/>
      <c r="H74" s="177"/>
      <c r="I74" s="177"/>
      <c r="J74" s="177"/>
      <c r="K74" s="177"/>
      <c r="L74" s="177"/>
    </row>
    <row r="75" spans="1:12" x14ac:dyDescent="0.2">
      <c r="A75" s="292"/>
      <c r="B75" s="177"/>
      <c r="C75" s="177"/>
      <c r="D75" s="177"/>
      <c r="E75" s="177"/>
      <c r="F75" s="177"/>
      <c r="G75" s="177"/>
      <c r="H75" s="177"/>
      <c r="I75" s="177"/>
      <c r="J75" s="177"/>
      <c r="K75" s="177"/>
      <c r="L75" s="177"/>
    </row>
    <row r="76" spans="1:12" x14ac:dyDescent="0.2">
      <c r="A76" s="292"/>
      <c r="B76" s="177"/>
      <c r="C76" s="177"/>
      <c r="D76" s="177"/>
      <c r="E76" s="177"/>
      <c r="F76" s="177"/>
      <c r="G76" s="177"/>
      <c r="H76" s="177"/>
      <c r="I76" s="177"/>
      <c r="J76" s="177"/>
      <c r="K76" s="177"/>
      <c r="L76" s="177"/>
    </row>
    <row r="77" spans="1:12" x14ac:dyDescent="0.2">
      <c r="A77" s="292"/>
      <c r="B77" s="177"/>
      <c r="C77" s="177"/>
      <c r="D77" s="177"/>
      <c r="E77" s="177"/>
      <c r="F77" s="177"/>
      <c r="G77" s="177"/>
      <c r="H77" s="177"/>
      <c r="I77" s="177"/>
      <c r="J77" s="177"/>
      <c r="K77" s="177"/>
      <c r="L77" s="177"/>
    </row>
    <row r="78" spans="1:12" x14ac:dyDescent="0.2">
      <c r="A78" s="292"/>
      <c r="B78" s="177"/>
      <c r="C78" s="177"/>
      <c r="D78" s="177"/>
      <c r="E78" s="177"/>
      <c r="F78" s="177"/>
      <c r="G78" s="177"/>
      <c r="H78" s="177"/>
      <c r="I78" s="177"/>
      <c r="J78" s="177"/>
      <c r="K78" s="177"/>
      <c r="L78" s="177"/>
    </row>
  </sheetData>
  <mergeCells count="5">
    <mergeCell ref="A43:M43"/>
    <mergeCell ref="A44:M44"/>
    <mergeCell ref="A45:M45"/>
    <mergeCell ref="A46:M46"/>
    <mergeCell ref="A47:M47"/>
  </mergeCells>
  <hyperlinks>
    <hyperlink ref="A3" location="Sommaire!A2" display="Retour au sommaire"/>
  </hyperlinks>
  <pageMargins left="0.78740157499999996" right="0.78740157499999996" top="0.984251969" bottom="0.984251969" header="0.4921259845" footer="0.4921259845"/>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heetViews>
  <sheetFormatPr baseColWidth="10" defaultRowHeight="12.75" x14ac:dyDescent="0.2"/>
  <cols>
    <col min="9" max="9" width="13.42578125" customWidth="1"/>
    <col min="12" max="12" width="10.28515625" customWidth="1"/>
    <col min="13" max="13" width="25.42578125" customWidth="1"/>
    <col min="18" max="18" width="12.7109375" customWidth="1"/>
  </cols>
  <sheetData>
    <row r="1" spans="1:18" x14ac:dyDescent="0.2">
      <c r="A1" s="388" t="s">
        <v>346</v>
      </c>
    </row>
    <row r="2" spans="1:18" ht="12.75" customHeight="1" x14ac:dyDescent="0.2"/>
    <row r="3" spans="1:18" ht="12.75" customHeight="1" x14ac:dyDescent="0.2"/>
    <row r="4" spans="1:18" ht="12.75" customHeight="1" x14ac:dyDescent="0.2"/>
    <row r="5" spans="1:18" ht="13.5" customHeight="1" thickBot="1" x14ac:dyDescent="0.25"/>
    <row r="6" spans="1:18" ht="68.25" customHeight="1" x14ac:dyDescent="0.2">
      <c r="M6" s="51" t="s">
        <v>130</v>
      </c>
      <c r="N6" s="51" t="s">
        <v>131</v>
      </c>
      <c r="O6" s="51" t="s">
        <v>235</v>
      </c>
      <c r="P6" s="51" t="s">
        <v>132</v>
      </c>
      <c r="Q6" s="51" t="s">
        <v>245</v>
      </c>
      <c r="R6" s="293" t="s">
        <v>237</v>
      </c>
    </row>
    <row r="7" spans="1:18" x14ac:dyDescent="0.2">
      <c r="M7" s="175" t="s">
        <v>191</v>
      </c>
      <c r="N7" s="52" t="s">
        <v>133</v>
      </c>
      <c r="O7" s="49">
        <v>15.33</v>
      </c>
      <c r="P7" s="49">
        <v>20.56</v>
      </c>
      <c r="Q7" s="49">
        <v>1.3341296612521976</v>
      </c>
      <c r="R7" s="49">
        <v>9.8103159034626</v>
      </c>
    </row>
    <row r="8" spans="1:18" x14ac:dyDescent="0.2">
      <c r="M8" s="175">
        <v>20</v>
      </c>
      <c r="N8" s="52" t="s">
        <v>134</v>
      </c>
      <c r="O8" s="49">
        <v>19.489999999999998</v>
      </c>
      <c r="P8" s="49">
        <v>17.59</v>
      </c>
      <c r="Q8" s="49">
        <v>1.7977232595709509</v>
      </c>
      <c r="R8" s="49">
        <v>7.5750173476873055</v>
      </c>
    </row>
    <row r="9" spans="1:18" ht="23.25" customHeight="1" x14ac:dyDescent="0.2">
      <c r="A9" s="54"/>
      <c r="B9" s="56"/>
      <c r="C9" s="56"/>
      <c r="D9" s="56"/>
      <c r="E9" s="56"/>
      <c r="F9" s="54"/>
      <c r="G9" s="56"/>
      <c r="H9" s="56"/>
      <c r="I9" s="56"/>
      <c r="J9" s="56"/>
      <c r="M9" s="175" t="s">
        <v>192</v>
      </c>
      <c r="N9" s="52" t="s">
        <v>135</v>
      </c>
      <c r="O9" s="49">
        <v>18.25</v>
      </c>
      <c r="P9" s="49">
        <v>9.64</v>
      </c>
      <c r="Q9" s="49">
        <v>-0.57925780940037552</v>
      </c>
      <c r="R9" s="49">
        <v>8.5060202588309561</v>
      </c>
    </row>
    <row r="10" spans="1:18" x14ac:dyDescent="0.2">
      <c r="A10" s="53"/>
      <c r="B10" s="56"/>
      <c r="C10" s="56"/>
      <c r="D10" s="56"/>
      <c r="E10" s="56"/>
      <c r="F10" s="53"/>
      <c r="G10" s="56"/>
      <c r="H10" s="56"/>
      <c r="I10" s="56"/>
      <c r="J10" s="56"/>
      <c r="M10" s="175" t="s">
        <v>193</v>
      </c>
      <c r="N10" s="52" t="s">
        <v>136</v>
      </c>
      <c r="O10" s="49">
        <v>13.98</v>
      </c>
      <c r="P10" s="49">
        <v>27.74</v>
      </c>
      <c r="Q10" s="49">
        <v>1.9895695268829598</v>
      </c>
      <c r="R10" s="49">
        <v>8.8484418311006188</v>
      </c>
    </row>
    <row r="11" spans="1:18" x14ac:dyDescent="0.2">
      <c r="M11" s="175" t="s">
        <v>194</v>
      </c>
      <c r="N11" s="52" t="s">
        <v>15</v>
      </c>
      <c r="O11" s="48">
        <v>14.82</v>
      </c>
      <c r="P11" s="48">
        <v>12.74</v>
      </c>
      <c r="Q11" s="49">
        <v>1.2185572129801172</v>
      </c>
      <c r="R11" s="49">
        <v>10.442401200797899</v>
      </c>
    </row>
    <row r="12" spans="1:18" x14ac:dyDescent="0.2">
      <c r="A12" s="56"/>
      <c r="B12" s="56"/>
      <c r="C12" s="56"/>
      <c r="D12" s="56"/>
      <c r="E12" s="56"/>
      <c r="F12" s="56"/>
      <c r="G12" s="56"/>
      <c r="H12" s="56"/>
      <c r="I12" s="56"/>
      <c r="J12" s="56"/>
      <c r="M12" s="175">
        <v>27</v>
      </c>
      <c r="N12" s="52" t="s">
        <v>137</v>
      </c>
      <c r="O12" s="49">
        <v>14.21</v>
      </c>
      <c r="P12" s="49">
        <v>4.0999999999999996</v>
      </c>
      <c r="Q12" s="49">
        <v>1.6379601485984465</v>
      </c>
      <c r="R12" s="49">
        <v>3.1989954577218724</v>
      </c>
    </row>
    <row r="13" spans="1:18" x14ac:dyDescent="0.2">
      <c r="A13" s="56"/>
      <c r="B13" s="56"/>
      <c r="C13" s="56"/>
      <c r="D13" s="56"/>
      <c r="E13" s="56"/>
      <c r="F13" s="56"/>
      <c r="G13" s="56"/>
      <c r="H13" s="56"/>
      <c r="I13" s="56"/>
      <c r="J13" s="56"/>
      <c r="M13" s="175">
        <v>24</v>
      </c>
      <c r="N13" s="52" t="s">
        <v>34</v>
      </c>
      <c r="O13" s="49">
        <v>13.29</v>
      </c>
      <c r="P13" s="49">
        <v>20.7</v>
      </c>
      <c r="Q13" s="49">
        <v>2.3055818703017925</v>
      </c>
      <c r="R13" s="49">
        <v>11.533976194063584</v>
      </c>
    </row>
    <row r="14" spans="1:18" x14ac:dyDescent="0.2">
      <c r="A14" s="56"/>
      <c r="B14" s="56"/>
      <c r="C14" s="56"/>
      <c r="D14" s="56"/>
      <c r="E14" s="56"/>
      <c r="F14" s="56"/>
      <c r="G14" s="56"/>
      <c r="H14" s="56"/>
      <c r="I14" s="56"/>
      <c r="J14" s="56"/>
      <c r="M14" s="175" t="s">
        <v>195</v>
      </c>
      <c r="N14" s="52" t="s">
        <v>138</v>
      </c>
      <c r="O14" s="49">
        <v>17.149999999999999</v>
      </c>
      <c r="P14" s="49">
        <v>16.21</v>
      </c>
      <c r="Q14" s="49">
        <v>0.74581244650935319</v>
      </c>
      <c r="R14" s="49">
        <v>7.2780578797550248</v>
      </c>
    </row>
    <row r="15" spans="1:18" x14ac:dyDescent="0.2">
      <c r="A15" s="56"/>
      <c r="B15" s="56"/>
      <c r="C15" s="56"/>
      <c r="D15" s="56"/>
      <c r="E15" s="56"/>
      <c r="F15" s="56"/>
      <c r="G15" s="56"/>
      <c r="H15" s="56"/>
      <c r="I15" s="56"/>
      <c r="J15" s="56"/>
      <c r="M15" s="175" t="s">
        <v>196</v>
      </c>
      <c r="N15" s="52" t="s">
        <v>139</v>
      </c>
      <c r="O15" s="49">
        <v>17.11</v>
      </c>
      <c r="P15" s="49">
        <v>19.12</v>
      </c>
      <c r="Q15" s="49">
        <v>2.0609415043411321</v>
      </c>
      <c r="R15" s="49">
        <v>11.786959661611473</v>
      </c>
    </row>
    <row r="16" spans="1:18" x14ac:dyDescent="0.2">
      <c r="A16" s="56"/>
      <c r="B16" s="56"/>
      <c r="C16" s="56"/>
      <c r="D16" s="56"/>
      <c r="E16" s="56"/>
      <c r="F16" s="56"/>
      <c r="G16" s="56"/>
      <c r="H16" s="56"/>
      <c r="I16" s="56"/>
      <c r="J16" s="56"/>
      <c r="M16" s="175">
        <v>32</v>
      </c>
      <c r="N16" s="52" t="s">
        <v>38</v>
      </c>
      <c r="O16" s="49">
        <v>29.81</v>
      </c>
      <c r="P16" s="49">
        <v>13.82</v>
      </c>
      <c r="Q16" s="49">
        <v>2.0616708497669416</v>
      </c>
      <c r="R16" s="49">
        <v>2.5308665060240965</v>
      </c>
    </row>
    <row r="17" spans="1:19" x14ac:dyDescent="0.2">
      <c r="A17" s="56"/>
      <c r="B17" s="56"/>
      <c r="C17" s="56"/>
      <c r="D17" s="56"/>
      <c r="E17" s="56"/>
      <c r="F17" s="56"/>
      <c r="G17" s="56"/>
      <c r="H17" s="56"/>
      <c r="I17" s="56"/>
      <c r="J17" s="56"/>
      <c r="M17" s="175">
        <v>33</v>
      </c>
      <c r="N17" s="52" t="s">
        <v>39</v>
      </c>
      <c r="O17" s="49">
        <v>20.86</v>
      </c>
      <c r="P17" s="49">
        <v>8.73</v>
      </c>
      <c r="Q17" s="49">
        <v>0.53304904051172708</v>
      </c>
      <c r="R17" s="49">
        <v>10.152902738432482</v>
      </c>
    </row>
    <row r="18" spans="1:19" x14ac:dyDescent="0.2">
      <c r="A18" s="56"/>
      <c r="B18" s="56"/>
      <c r="C18" s="56"/>
      <c r="D18" s="56"/>
      <c r="E18" s="56"/>
      <c r="F18" s="56"/>
      <c r="G18" s="56"/>
      <c r="H18" s="56"/>
      <c r="I18" s="56"/>
      <c r="J18" s="56"/>
      <c r="M18" s="175">
        <v>28</v>
      </c>
      <c r="N18" s="52" t="s">
        <v>69</v>
      </c>
      <c r="O18" s="49">
        <v>21.29</v>
      </c>
      <c r="P18" s="49">
        <v>10.75</v>
      </c>
      <c r="Q18" s="49">
        <v>0.34436061133681561</v>
      </c>
      <c r="R18" s="49">
        <v>2.6251341478264396</v>
      </c>
    </row>
    <row r="19" spans="1:19" x14ac:dyDescent="0.2">
      <c r="A19" s="56"/>
      <c r="B19" s="56"/>
      <c r="C19" s="56"/>
      <c r="D19" s="56"/>
      <c r="E19" s="56"/>
      <c r="F19" s="56"/>
      <c r="G19" s="56"/>
      <c r="H19" s="56"/>
      <c r="I19" s="56"/>
      <c r="J19" s="56"/>
      <c r="M19" s="175" t="s">
        <v>197</v>
      </c>
      <c r="N19" s="52" t="s">
        <v>140</v>
      </c>
      <c r="O19" s="49">
        <v>13.68</v>
      </c>
      <c r="P19" s="49">
        <v>29.12</v>
      </c>
      <c r="Q19" s="49">
        <v>4.2924021330246784</v>
      </c>
      <c r="R19" s="49">
        <v>9.0228885222233686</v>
      </c>
    </row>
    <row r="20" spans="1:19" x14ac:dyDescent="0.2">
      <c r="A20" s="56"/>
      <c r="B20" s="56"/>
      <c r="C20" s="56"/>
      <c r="D20" s="56"/>
      <c r="E20" s="56"/>
      <c r="F20" s="56"/>
      <c r="G20" s="56"/>
      <c r="H20" s="56"/>
      <c r="I20" s="56"/>
      <c r="J20" s="56"/>
      <c r="M20" s="175">
        <v>22</v>
      </c>
      <c r="N20" s="52" t="s">
        <v>141</v>
      </c>
      <c r="O20" s="49">
        <v>16.559999999999999</v>
      </c>
      <c r="P20" s="49">
        <v>10.050000000000001</v>
      </c>
      <c r="Q20" s="49">
        <v>-0.57577865368266479</v>
      </c>
      <c r="R20" s="49">
        <v>9.7180010465724749</v>
      </c>
    </row>
    <row r="21" spans="1:19" x14ac:dyDescent="0.2">
      <c r="A21" s="56"/>
      <c r="B21" s="56"/>
      <c r="C21" s="56"/>
      <c r="D21" s="56"/>
      <c r="E21" s="56"/>
      <c r="F21" s="56"/>
      <c r="G21" s="56"/>
      <c r="H21" s="56"/>
      <c r="I21" s="56"/>
      <c r="J21" s="56"/>
      <c r="M21" s="175">
        <v>10</v>
      </c>
      <c r="N21" s="52" t="s">
        <v>142</v>
      </c>
      <c r="O21" s="49">
        <v>9.89</v>
      </c>
      <c r="P21" s="49">
        <v>32.950000000000003</v>
      </c>
      <c r="Q21" s="49">
        <v>4.0759632888349513</v>
      </c>
      <c r="R21" s="49">
        <v>10.677100242537671</v>
      </c>
    </row>
    <row r="22" spans="1:19" x14ac:dyDescent="0.2">
      <c r="A22" s="56"/>
      <c r="B22" s="56"/>
      <c r="C22" s="56"/>
      <c r="D22" s="56"/>
      <c r="E22" s="56"/>
      <c r="F22" s="56"/>
      <c r="G22" s="56"/>
      <c r="H22" s="56"/>
      <c r="I22" s="56"/>
      <c r="J22" s="56"/>
      <c r="M22" s="175">
        <v>31</v>
      </c>
      <c r="N22" s="52" t="s">
        <v>40</v>
      </c>
      <c r="O22" s="49">
        <v>31.17</v>
      </c>
      <c r="P22" s="49">
        <v>14.54</v>
      </c>
      <c r="Q22" s="49">
        <v>0.80904470490613012</v>
      </c>
      <c r="R22" s="49">
        <v>5.1021209465381245</v>
      </c>
    </row>
    <row r="23" spans="1:19" x14ac:dyDescent="0.2">
      <c r="A23" s="56"/>
      <c r="B23" s="56"/>
      <c r="C23" s="56"/>
      <c r="D23" s="56"/>
      <c r="E23" s="56"/>
      <c r="F23" s="56"/>
      <c r="G23" s="56"/>
      <c r="H23" s="56"/>
      <c r="I23" s="56"/>
      <c r="J23" s="56"/>
      <c r="M23" s="175">
        <v>43</v>
      </c>
      <c r="N23" s="52" t="s">
        <v>41</v>
      </c>
      <c r="O23" s="49">
        <v>42.6</v>
      </c>
      <c r="P23" s="49">
        <v>5.35</v>
      </c>
      <c r="Q23" s="49">
        <v>15.019092066185829</v>
      </c>
      <c r="R23" s="49">
        <v>5.8659179687499989</v>
      </c>
    </row>
    <row r="24" spans="1:19" x14ac:dyDescent="0.2">
      <c r="A24" s="56"/>
      <c r="B24" s="56"/>
      <c r="C24" s="56"/>
      <c r="D24" s="56"/>
      <c r="E24" s="56"/>
      <c r="F24" s="56"/>
      <c r="G24" s="56"/>
      <c r="H24" s="56"/>
      <c r="I24" s="56"/>
      <c r="J24" s="56"/>
      <c r="M24" s="175">
        <v>11</v>
      </c>
      <c r="N24" s="52" t="s">
        <v>143</v>
      </c>
      <c r="O24" s="49">
        <v>14.28</v>
      </c>
      <c r="P24" s="49">
        <v>19.14</v>
      </c>
      <c r="Q24" s="49">
        <v>2.8185107598552657</v>
      </c>
      <c r="R24" s="49">
        <v>11.654409882778507</v>
      </c>
    </row>
    <row r="25" spans="1:19" x14ac:dyDescent="0.2">
      <c r="A25" s="56"/>
      <c r="B25" s="56"/>
      <c r="C25" s="56"/>
      <c r="D25" s="56"/>
      <c r="E25" s="56"/>
      <c r="F25" s="56"/>
      <c r="G25" s="56"/>
      <c r="H25" s="56"/>
      <c r="I25" s="56"/>
      <c r="J25" s="56"/>
      <c r="M25" s="175">
        <v>12</v>
      </c>
      <c r="N25" s="52" t="s">
        <v>23</v>
      </c>
      <c r="O25" s="49">
        <v>14.74</v>
      </c>
      <c r="P25" s="49">
        <v>13.77</v>
      </c>
      <c r="Q25" s="49">
        <v>-1.3667250360678846</v>
      </c>
      <c r="R25" s="49">
        <v>10.298610980096218</v>
      </c>
    </row>
    <row r="26" spans="1:19" x14ac:dyDescent="0.2">
      <c r="A26" s="56"/>
      <c r="B26" s="56"/>
      <c r="C26" s="56"/>
      <c r="D26" s="56"/>
      <c r="E26" s="56"/>
      <c r="F26" s="56"/>
      <c r="G26" s="56"/>
      <c r="H26" s="56"/>
      <c r="I26" s="56"/>
      <c r="J26" s="56"/>
      <c r="M26" s="175">
        <v>17</v>
      </c>
      <c r="N26" s="52" t="s">
        <v>144</v>
      </c>
      <c r="O26" s="49">
        <v>17.100000000000001</v>
      </c>
      <c r="P26" s="49">
        <v>35.729999999999997</v>
      </c>
      <c r="Q26" s="49">
        <v>1.5123348571352966</v>
      </c>
      <c r="R26" s="49">
        <v>7.3675128111786279</v>
      </c>
      <c r="S26" s="177"/>
    </row>
    <row r="27" spans="1:19" x14ac:dyDescent="0.2">
      <c r="A27" s="56"/>
      <c r="B27" s="56"/>
      <c r="C27" s="56"/>
      <c r="D27" s="56"/>
      <c r="E27" s="56"/>
      <c r="F27" s="56"/>
      <c r="G27" s="56"/>
      <c r="H27" s="56"/>
      <c r="I27" s="56"/>
      <c r="J27" s="56"/>
      <c r="M27" s="175">
        <v>23</v>
      </c>
      <c r="N27" s="52" t="s">
        <v>145</v>
      </c>
      <c r="O27" s="49">
        <v>15.63</v>
      </c>
      <c r="P27" s="49">
        <v>24.83</v>
      </c>
      <c r="Q27" s="49">
        <v>3.6594126979375576</v>
      </c>
      <c r="R27" s="49">
        <v>12.858109822119104</v>
      </c>
      <c r="S27" s="177"/>
    </row>
    <row r="28" spans="1:19" x14ac:dyDescent="0.2">
      <c r="A28" s="56"/>
      <c r="B28" s="56"/>
      <c r="C28" s="56"/>
      <c r="D28" s="56"/>
      <c r="E28" s="56"/>
      <c r="F28" s="56"/>
      <c r="G28" s="56"/>
      <c r="H28" s="56"/>
      <c r="I28" s="56"/>
      <c r="J28" s="56"/>
      <c r="M28" s="175" t="s">
        <v>199</v>
      </c>
      <c r="N28" s="52" t="s">
        <v>189</v>
      </c>
      <c r="O28" s="49">
        <v>16.18</v>
      </c>
      <c r="P28" s="49">
        <v>21.64</v>
      </c>
      <c r="Q28" s="49">
        <v>1.5199664751794102</v>
      </c>
      <c r="R28" s="49">
        <v>9.2421410209327952</v>
      </c>
      <c r="S28" s="177"/>
    </row>
    <row r="29" spans="1:19" x14ac:dyDescent="0.2">
      <c r="K29" s="56"/>
      <c r="M29" s="175">
        <v>18</v>
      </c>
      <c r="N29" s="52" t="s">
        <v>26</v>
      </c>
      <c r="O29" s="49">
        <v>19.309999999999999</v>
      </c>
      <c r="P29" s="49">
        <v>15.55</v>
      </c>
      <c r="Q29" s="49">
        <v>2.2058823529411766</v>
      </c>
      <c r="R29" s="49">
        <v>7.5112516445401276</v>
      </c>
      <c r="S29" s="177"/>
    </row>
    <row r="30" spans="1:19" ht="24.75" customHeight="1" x14ac:dyDescent="0.2">
      <c r="A30" s="54"/>
      <c r="B30" s="56"/>
      <c r="C30" s="56"/>
      <c r="D30" s="56"/>
      <c r="E30" s="56"/>
      <c r="F30" s="408"/>
      <c r="G30" s="408"/>
      <c r="H30" s="408"/>
      <c r="I30" s="408"/>
      <c r="K30" s="56"/>
      <c r="M30" s="175" t="s">
        <v>198</v>
      </c>
      <c r="N30" s="52" t="s">
        <v>33</v>
      </c>
      <c r="O30" s="49">
        <v>7.7</v>
      </c>
      <c r="P30" s="49">
        <v>35.25</v>
      </c>
      <c r="Q30" s="49">
        <v>5.3834643227867724</v>
      </c>
      <c r="R30" s="49">
        <v>15.143107868060801</v>
      </c>
      <c r="S30" s="177"/>
    </row>
    <row r="31" spans="1:19" x14ac:dyDescent="0.2">
      <c r="A31" s="53"/>
      <c r="B31" s="56"/>
      <c r="C31" s="56"/>
      <c r="D31" s="56"/>
      <c r="E31" s="56"/>
      <c r="F31" s="53"/>
      <c r="G31" s="50"/>
      <c r="H31" s="50"/>
      <c r="I31" s="50"/>
      <c r="M31" s="175">
        <v>13</v>
      </c>
      <c r="N31" s="52" t="s">
        <v>146</v>
      </c>
      <c r="O31" s="49">
        <v>16.66</v>
      </c>
      <c r="P31" s="49">
        <v>20.55</v>
      </c>
      <c r="Q31" s="49">
        <v>2.2059209720058126</v>
      </c>
      <c r="R31" s="49">
        <v>9.9898717806599429</v>
      </c>
      <c r="S31" s="177"/>
    </row>
    <row r="32" spans="1:19" x14ac:dyDescent="0.2">
      <c r="K32" s="56"/>
      <c r="M32" s="175">
        <v>19</v>
      </c>
      <c r="N32" s="52" t="s">
        <v>147</v>
      </c>
      <c r="O32" s="49">
        <v>16.64</v>
      </c>
      <c r="P32" s="49">
        <v>21.28</v>
      </c>
      <c r="Q32" s="49">
        <v>-0.19102798245061611</v>
      </c>
      <c r="R32" s="49">
        <v>9.2718361925843933</v>
      </c>
      <c r="S32" s="177"/>
    </row>
    <row r="33" spans="1:19" x14ac:dyDescent="0.2">
      <c r="A33" s="56"/>
      <c r="B33" s="56"/>
      <c r="C33" s="56"/>
      <c r="D33" s="56"/>
      <c r="E33" s="56"/>
      <c r="F33" s="50"/>
      <c r="G33" s="50"/>
      <c r="H33" s="50"/>
      <c r="I33" s="50"/>
      <c r="K33" s="56"/>
      <c r="M33" s="175">
        <v>14</v>
      </c>
      <c r="N33" s="52" t="s">
        <v>148</v>
      </c>
      <c r="O33" s="49">
        <v>14.94</v>
      </c>
      <c r="P33" s="49">
        <v>24.39</v>
      </c>
      <c r="Q33" s="49">
        <v>3.5706485363018285</v>
      </c>
      <c r="R33" s="49">
        <v>10.168932414148573</v>
      </c>
      <c r="S33" s="177"/>
    </row>
    <row r="34" spans="1:19" x14ac:dyDescent="0.2">
      <c r="A34" s="56"/>
      <c r="B34" s="56"/>
      <c r="C34" s="56"/>
      <c r="D34" s="56"/>
      <c r="E34" s="56"/>
      <c r="F34" s="50"/>
      <c r="G34" s="50"/>
      <c r="H34" s="50"/>
      <c r="I34" s="50"/>
      <c r="K34" s="56"/>
      <c r="M34" s="175">
        <v>15</v>
      </c>
      <c r="N34" s="52" t="s">
        <v>149</v>
      </c>
      <c r="O34" s="49">
        <v>12.31</v>
      </c>
      <c r="P34" s="49">
        <v>11.38</v>
      </c>
      <c r="Q34" s="49">
        <v>2.0982350209010683</v>
      </c>
      <c r="R34" s="49">
        <v>13.847377379297118</v>
      </c>
      <c r="S34" s="177"/>
    </row>
    <row r="35" spans="1:19" x14ac:dyDescent="0.2">
      <c r="A35" s="56"/>
      <c r="B35" s="56"/>
      <c r="C35" s="56"/>
      <c r="D35" s="56"/>
      <c r="E35" s="56"/>
      <c r="F35" s="50"/>
      <c r="G35" s="50"/>
      <c r="H35" s="50"/>
      <c r="I35" s="50"/>
      <c r="K35" s="56"/>
      <c r="M35" s="175">
        <v>16</v>
      </c>
      <c r="N35" s="52" t="s">
        <v>150</v>
      </c>
      <c r="O35" s="49">
        <v>12.9</v>
      </c>
      <c r="P35" s="49">
        <v>20.7</v>
      </c>
      <c r="Q35" s="49">
        <v>-0.53599243624886916</v>
      </c>
      <c r="R35" s="49">
        <v>10.15256137444481</v>
      </c>
      <c r="S35" s="177"/>
    </row>
    <row r="36" spans="1:19" x14ac:dyDescent="0.2">
      <c r="A36" s="56"/>
      <c r="B36" s="56"/>
      <c r="C36" s="56"/>
      <c r="D36" s="56"/>
      <c r="E36" s="56"/>
      <c r="F36" s="50"/>
      <c r="G36" s="50"/>
      <c r="H36" s="50"/>
      <c r="I36" s="50"/>
      <c r="K36" s="56"/>
      <c r="M36" s="175">
        <v>25</v>
      </c>
      <c r="N36" s="52" t="s">
        <v>151</v>
      </c>
      <c r="O36" s="49">
        <v>12.15</v>
      </c>
      <c r="P36" s="49">
        <v>30.19</v>
      </c>
      <c r="Q36" s="49">
        <v>2.8778587371236619</v>
      </c>
      <c r="R36" s="49">
        <v>12.591140644341875</v>
      </c>
      <c r="S36" s="177"/>
    </row>
    <row r="37" spans="1:19" x14ac:dyDescent="0.2">
      <c r="A37" s="56"/>
      <c r="B37" s="56"/>
      <c r="C37" s="56"/>
      <c r="D37" s="56"/>
      <c r="E37" s="56"/>
      <c r="F37" s="50"/>
      <c r="G37" s="50"/>
      <c r="H37" s="50"/>
      <c r="I37" s="50"/>
      <c r="K37" s="56"/>
      <c r="M37" s="176"/>
      <c r="N37" s="52" t="s">
        <v>9</v>
      </c>
      <c r="O37" s="49">
        <v>13.771431920391683</v>
      </c>
      <c r="P37" s="49">
        <v>24.816567282016184</v>
      </c>
      <c r="Q37" s="49">
        <v>2.5364238364852425</v>
      </c>
      <c r="R37" s="49">
        <v>10.76995292150526</v>
      </c>
    </row>
    <row r="38" spans="1:19" x14ac:dyDescent="0.2">
      <c r="B38" s="357" t="s">
        <v>291</v>
      </c>
      <c r="C38" s="56"/>
      <c r="D38" s="56"/>
      <c r="E38" s="56"/>
      <c r="F38" s="50"/>
      <c r="G38" s="50"/>
      <c r="H38" s="50"/>
      <c r="I38" s="50"/>
      <c r="K38" s="56"/>
    </row>
  </sheetData>
  <sortState ref="O40:P70">
    <sortCondition ref="O40:O70"/>
  </sortState>
  <mergeCells count="1">
    <mergeCell ref="F30:I30"/>
  </mergeCells>
  <hyperlinks>
    <hyperlink ref="A1" location="Sommaire!A2"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workbookViewId="0"/>
  </sheetViews>
  <sheetFormatPr baseColWidth="10" defaultRowHeight="12.75" x14ac:dyDescent="0.2"/>
  <cols>
    <col min="1" max="1" width="46.28515625" style="171" customWidth="1"/>
    <col min="2" max="2" width="11.28515625" style="171" customWidth="1"/>
    <col min="3" max="7" width="9.85546875" style="171" bestFit="1" customWidth="1"/>
    <col min="8" max="9" width="11.42578125" style="171"/>
    <col min="10" max="10" width="14.85546875" style="171" customWidth="1"/>
    <col min="11" max="12" width="13.140625" style="171" bestFit="1" customWidth="1"/>
    <col min="13" max="13" width="15.42578125" style="171" customWidth="1"/>
    <col min="14" max="16384" width="11.42578125" style="171"/>
  </cols>
  <sheetData>
    <row r="1" spans="1:13" s="199" customFormat="1" ht="15" x14ac:dyDescent="0.25">
      <c r="A1" s="35" t="s">
        <v>292</v>
      </c>
    </row>
    <row r="2" spans="1:13" s="199" customFormat="1" x14ac:dyDescent="0.2">
      <c r="A2" s="358" t="s">
        <v>215</v>
      </c>
      <c r="B2" s="256"/>
      <c r="C2" s="256"/>
      <c r="D2" s="256"/>
      <c r="E2" s="256"/>
      <c r="F2" s="256"/>
      <c r="G2" s="256"/>
    </row>
    <row r="3" spans="1:13" s="199" customFormat="1" x14ac:dyDescent="0.2">
      <c r="A3" s="388" t="s">
        <v>346</v>
      </c>
      <c r="B3" s="256"/>
      <c r="C3" s="256"/>
      <c r="D3" s="256"/>
      <c r="E3" s="256"/>
      <c r="F3" s="256"/>
      <c r="G3" s="256"/>
    </row>
    <row r="4" spans="1:13" s="331" customFormat="1" ht="17.45" customHeight="1" x14ac:dyDescent="0.2">
      <c r="A4" s="344"/>
      <c r="B4" s="344" t="s">
        <v>247</v>
      </c>
      <c r="C4" s="344" t="s">
        <v>248</v>
      </c>
      <c r="D4" s="344" t="s">
        <v>67</v>
      </c>
      <c r="E4" s="344" t="s">
        <v>68</v>
      </c>
      <c r="F4" s="344" t="s">
        <v>83</v>
      </c>
      <c r="G4" s="344" t="s">
        <v>120</v>
      </c>
      <c r="H4" s="344" t="s">
        <v>153</v>
      </c>
      <c r="I4" s="344" t="s">
        <v>154</v>
      </c>
      <c r="J4" s="344" t="s">
        <v>249</v>
      </c>
      <c r="K4" s="344" t="s">
        <v>250</v>
      </c>
      <c r="L4" s="344" t="s">
        <v>251</v>
      </c>
    </row>
    <row r="5" spans="1:13" s="331" customFormat="1" ht="17.45" customHeight="1" x14ac:dyDescent="0.25">
      <c r="A5" s="88" t="s">
        <v>82</v>
      </c>
      <c r="B5" s="359">
        <v>1429.7380000000001</v>
      </c>
      <c r="C5" s="359">
        <v>1443.2840000000001</v>
      </c>
      <c r="D5" s="359">
        <v>1479.337</v>
      </c>
      <c r="E5" s="359">
        <v>1509.6189999999999</v>
      </c>
      <c r="F5" s="359">
        <v>1552.2449999999999</v>
      </c>
      <c r="G5" s="359">
        <v>1568.854</v>
      </c>
      <c r="H5" s="359">
        <v>1584.8209999999999</v>
      </c>
      <c r="I5" s="359">
        <v>1614.883</v>
      </c>
      <c r="J5" s="359">
        <v>1635.35</v>
      </c>
      <c r="K5" s="359">
        <v>1649.9780000000001</v>
      </c>
      <c r="L5" s="360">
        <v>1656.914</v>
      </c>
      <c r="M5" s="361"/>
    </row>
    <row r="6" spans="1:13" s="331" customFormat="1" ht="17.45" customHeight="1" x14ac:dyDescent="0.25">
      <c r="A6" s="88" t="s">
        <v>293</v>
      </c>
      <c r="B6" s="359">
        <v>1314.7240000000002</v>
      </c>
      <c r="C6" s="359">
        <v>1328.6070000000002</v>
      </c>
      <c r="D6" s="359">
        <v>1363.559</v>
      </c>
      <c r="E6" s="359">
        <v>1393.2239999999999</v>
      </c>
      <c r="F6" s="359">
        <v>1436.0619999999999</v>
      </c>
      <c r="G6" s="359">
        <v>1452.3030000000001</v>
      </c>
      <c r="H6" s="359">
        <v>1468.07</v>
      </c>
      <c r="I6" s="359">
        <v>1495.222</v>
      </c>
      <c r="J6" s="359">
        <v>1514.799</v>
      </c>
      <c r="K6" s="359">
        <v>1529.048</v>
      </c>
      <c r="L6" s="360">
        <v>1541.8579999999999</v>
      </c>
      <c r="M6" s="361"/>
    </row>
    <row r="7" spans="1:13" s="331" customFormat="1" ht="17.45" customHeight="1" x14ac:dyDescent="0.25">
      <c r="A7" s="345" t="s">
        <v>294</v>
      </c>
      <c r="B7" s="359">
        <v>2385.0509999999999</v>
      </c>
      <c r="C7" s="359">
        <v>2421.5729999999999</v>
      </c>
      <c r="D7" s="359">
        <v>2472.799</v>
      </c>
      <c r="E7" s="359">
        <v>2507.8029999999999</v>
      </c>
      <c r="F7" s="359">
        <v>2569.8960000000002</v>
      </c>
      <c r="G7" s="359">
        <v>2617.3159999999998</v>
      </c>
      <c r="H7" s="359">
        <v>2689.8090000000002</v>
      </c>
      <c r="I7" s="359">
        <v>2754.5859999999998</v>
      </c>
      <c r="J7" s="359">
        <v>2807.002</v>
      </c>
      <c r="K7" s="359">
        <v>2895.4940000000001</v>
      </c>
      <c r="L7" s="360">
        <v>2968.9360000000001</v>
      </c>
      <c r="M7" s="171"/>
    </row>
    <row r="8" spans="1:13" s="348" customFormat="1" ht="16.5" customHeight="1" x14ac:dyDescent="0.2">
      <c r="A8" s="362" t="s">
        <v>258</v>
      </c>
      <c r="B8" s="363"/>
      <c r="C8" s="363"/>
      <c r="D8" s="363"/>
      <c r="E8" s="363"/>
      <c r="F8" s="363"/>
      <c r="G8" s="364"/>
      <c r="H8" s="364"/>
      <c r="I8" s="364"/>
      <c r="J8" s="364"/>
      <c r="K8" s="364"/>
      <c r="L8" s="171"/>
      <c r="M8" s="171"/>
    </row>
    <row r="9" spans="1:13" ht="30.75" customHeight="1" x14ac:dyDescent="0.2">
      <c r="A9" s="409" t="s">
        <v>242</v>
      </c>
      <c r="B9" s="409"/>
      <c r="C9" s="409"/>
      <c r="D9" s="409"/>
      <c r="E9" s="409"/>
      <c r="F9" s="409"/>
      <c r="G9" s="409"/>
      <c r="H9" s="409"/>
      <c r="I9" s="409"/>
      <c r="J9" s="409"/>
      <c r="K9" s="409"/>
    </row>
    <row r="10" spans="1:13" ht="15" x14ac:dyDescent="0.25">
      <c r="A10" s="35" t="s">
        <v>292</v>
      </c>
    </row>
    <row r="11" spans="1:13" x14ac:dyDescent="0.2">
      <c r="F11" s="335"/>
    </row>
    <row r="31" spans="1:1" x14ac:dyDescent="0.2">
      <c r="A31" s="284"/>
    </row>
    <row r="32" spans="1:1" x14ac:dyDescent="0.2">
      <c r="A32" s="284"/>
    </row>
    <row r="35" spans="1:13" x14ac:dyDescent="0.2">
      <c r="M35" s="173"/>
    </row>
    <row r="42" spans="1:13" x14ac:dyDescent="0.2">
      <c r="A42" s="365"/>
    </row>
    <row r="45" spans="1:13" ht="12.75" customHeight="1" x14ac:dyDescent="0.2">
      <c r="A45" s="362" t="s">
        <v>258</v>
      </c>
      <c r="B45" s="363"/>
      <c r="C45" s="363"/>
      <c r="D45" s="363"/>
      <c r="E45" s="363"/>
      <c r="F45" s="363"/>
      <c r="G45" s="364"/>
      <c r="H45" s="364"/>
      <c r="I45" s="364"/>
      <c r="J45" s="364"/>
      <c r="K45" s="364"/>
    </row>
    <row r="46" spans="1:13" ht="24" customHeight="1" x14ac:dyDescent="0.2">
      <c r="A46" s="409" t="s">
        <v>352</v>
      </c>
      <c r="B46" s="409"/>
      <c r="C46" s="409"/>
      <c r="D46" s="409"/>
      <c r="E46" s="409"/>
      <c r="F46" s="409"/>
      <c r="G46" s="409"/>
      <c r="H46" s="409"/>
      <c r="I46" s="409"/>
      <c r="J46" s="409"/>
      <c r="K46" s="409"/>
    </row>
    <row r="50" spans="1:14" s="331" customFormat="1" ht="17.45" customHeight="1" x14ac:dyDescent="0.2">
      <c r="A50" s="171"/>
      <c r="B50" s="171"/>
      <c r="C50" s="171"/>
      <c r="D50" s="171"/>
      <c r="E50" s="171"/>
      <c r="F50" s="171"/>
      <c r="G50" s="171"/>
      <c r="H50" s="171"/>
      <c r="I50" s="171"/>
      <c r="J50" s="171"/>
      <c r="K50" s="171"/>
      <c r="L50" s="171"/>
      <c r="M50" s="171"/>
    </row>
    <row r="51" spans="1:14" s="331" customFormat="1" ht="17.45" customHeight="1" x14ac:dyDescent="0.2">
      <c r="A51" s="171"/>
      <c r="B51" s="171"/>
      <c r="C51" s="171"/>
      <c r="D51" s="171"/>
      <c r="E51" s="171"/>
      <c r="F51" s="171"/>
      <c r="G51" s="171"/>
      <c r="H51" s="171"/>
      <c r="I51" s="171"/>
      <c r="J51" s="171"/>
      <c r="K51" s="171"/>
      <c r="L51" s="171"/>
      <c r="M51" s="171"/>
      <c r="N51" s="123"/>
    </row>
  </sheetData>
  <mergeCells count="2">
    <mergeCell ref="A9:K9"/>
    <mergeCell ref="A46:K46"/>
  </mergeCells>
  <hyperlinks>
    <hyperlink ref="A3" location="Sommaire!A2"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57"/>
  <sheetViews>
    <sheetView workbookViewId="0"/>
  </sheetViews>
  <sheetFormatPr baseColWidth="10" defaultRowHeight="12.75" x14ac:dyDescent="0.2"/>
  <cols>
    <col min="1" max="1" width="48.5703125" style="171" customWidth="1"/>
    <col min="2" max="2" width="11.28515625" style="171" customWidth="1"/>
    <col min="3" max="7" width="9.85546875" style="171" bestFit="1" customWidth="1"/>
    <col min="8" max="9" width="11.42578125" style="171"/>
    <col min="10" max="10" width="14.85546875" style="171" customWidth="1"/>
    <col min="11" max="12" width="13.140625" style="171" bestFit="1" customWidth="1"/>
    <col min="13" max="13" width="15.42578125" style="171" customWidth="1"/>
    <col min="14" max="16384" width="11.42578125" style="171"/>
  </cols>
  <sheetData>
    <row r="1" spans="1:16" s="199" customFormat="1" ht="15" x14ac:dyDescent="0.25">
      <c r="A1" s="35" t="s">
        <v>295</v>
      </c>
    </row>
    <row r="2" spans="1:16" s="199" customFormat="1" x14ac:dyDescent="0.2">
      <c r="A2" s="358" t="s">
        <v>215</v>
      </c>
      <c r="B2" s="256"/>
      <c r="C2" s="256"/>
      <c r="D2" s="256"/>
      <c r="E2" s="256"/>
      <c r="F2" s="256"/>
      <c r="G2" s="256"/>
    </row>
    <row r="3" spans="1:16" s="199" customFormat="1" x14ac:dyDescent="0.2">
      <c r="A3" s="388" t="s">
        <v>346</v>
      </c>
      <c r="B3" s="256"/>
      <c r="C3" s="256"/>
      <c r="D3" s="256"/>
      <c r="E3" s="256"/>
      <c r="F3" s="256"/>
      <c r="G3" s="256"/>
    </row>
    <row r="4" spans="1:16" s="331" customFormat="1" ht="17.45" customHeight="1" x14ac:dyDescent="0.2">
      <c r="A4" s="344"/>
      <c r="B4" s="344" t="s">
        <v>247</v>
      </c>
      <c r="C4" s="344" t="s">
        <v>248</v>
      </c>
      <c r="D4" s="344" t="s">
        <v>67</v>
      </c>
      <c r="E4" s="344" t="s">
        <v>68</v>
      </c>
      <c r="F4" s="344" t="s">
        <v>83</v>
      </c>
      <c r="G4" s="344" t="s">
        <v>120</v>
      </c>
      <c r="H4" s="344" t="s">
        <v>153</v>
      </c>
      <c r="I4" s="344" t="s">
        <v>154</v>
      </c>
      <c r="J4" s="344" t="s">
        <v>249</v>
      </c>
      <c r="K4" s="344" t="s">
        <v>250</v>
      </c>
      <c r="L4" s="344" t="s">
        <v>251</v>
      </c>
    </row>
    <row r="5" spans="1:16" s="331" customFormat="1" ht="17.45" customHeight="1" x14ac:dyDescent="0.2">
      <c r="A5" s="122" t="s">
        <v>296</v>
      </c>
      <c r="B5" s="232">
        <v>115.014</v>
      </c>
      <c r="C5" s="232">
        <v>114.67700000000001</v>
      </c>
      <c r="D5" s="232">
        <v>115.77800000000001</v>
      </c>
      <c r="E5" s="232">
        <v>116.395</v>
      </c>
      <c r="F5" s="124">
        <v>116.18300000000001</v>
      </c>
      <c r="G5" s="123">
        <v>116.551</v>
      </c>
      <c r="H5" s="123">
        <v>116.751</v>
      </c>
      <c r="I5" s="123">
        <f>119661/1000</f>
        <v>119.661</v>
      </c>
      <c r="J5" s="123">
        <f>120551/1000</f>
        <v>120.551</v>
      </c>
      <c r="K5" s="123">
        <f>120930/1000</f>
        <v>120.93</v>
      </c>
      <c r="L5" s="366">
        <f>115056/1000</f>
        <v>115.056</v>
      </c>
      <c r="M5" s="123"/>
      <c r="N5" s="123"/>
    </row>
    <row r="6" spans="1:16" s="331" customFormat="1" ht="17.45" customHeight="1" x14ac:dyDescent="0.2">
      <c r="A6" s="222" t="s">
        <v>297</v>
      </c>
      <c r="B6" s="232">
        <v>130.41999999999999</v>
      </c>
      <c r="C6" s="232">
        <v>134.333</v>
      </c>
      <c r="D6" s="232">
        <v>137.30500000000001</v>
      </c>
      <c r="E6" s="232">
        <v>141.54499999999999</v>
      </c>
      <c r="F6" s="313">
        <v>146.429</v>
      </c>
      <c r="G6" s="232">
        <v>152.476</v>
      </c>
      <c r="H6" s="232">
        <v>158.767</v>
      </c>
      <c r="I6" s="232">
        <v>164.17699999999999</v>
      </c>
      <c r="J6" s="232">
        <v>167.547</v>
      </c>
      <c r="K6" s="232">
        <v>171.92500000000001</v>
      </c>
      <c r="L6" s="367">
        <v>175.95499999999998</v>
      </c>
      <c r="M6" s="232"/>
      <c r="N6" s="232"/>
    </row>
    <row r="7" spans="1:16" s="331" customFormat="1" ht="17.45" customHeight="1" x14ac:dyDescent="0.2">
      <c r="A7" s="222" t="s">
        <v>298</v>
      </c>
      <c r="B7" s="232">
        <v>246.02500000000001</v>
      </c>
      <c r="C7" s="232">
        <v>253.72900000000001</v>
      </c>
      <c r="D7" s="232">
        <v>254.96700000000001</v>
      </c>
      <c r="E7" s="232">
        <v>255.27699999999999</v>
      </c>
      <c r="F7" s="313">
        <v>256.06599999999997</v>
      </c>
      <c r="G7" s="232">
        <v>257.24700000000001</v>
      </c>
      <c r="H7" s="232">
        <v>256.56299999999999</v>
      </c>
      <c r="I7" s="232">
        <f>262626/1000</f>
        <v>262.62599999999998</v>
      </c>
      <c r="J7" s="232">
        <f>262498/1000</f>
        <v>262.49799999999999</v>
      </c>
      <c r="K7" s="232">
        <f>267350/1000</f>
        <v>267.35000000000002</v>
      </c>
      <c r="L7" s="367">
        <f>252041/1000</f>
        <v>252.041</v>
      </c>
      <c r="M7" s="232"/>
      <c r="N7" s="232"/>
    </row>
    <row r="8" spans="1:16" s="331" customFormat="1" ht="17.45" customHeight="1" x14ac:dyDescent="0.2">
      <c r="A8" s="222" t="s">
        <v>240</v>
      </c>
      <c r="B8" s="232">
        <v>55.136000000000003</v>
      </c>
      <c r="C8" s="232">
        <v>61.768999999999998</v>
      </c>
      <c r="D8" s="232">
        <v>60.834000000000003</v>
      </c>
      <c r="E8" s="232">
        <v>58.62</v>
      </c>
      <c r="F8" s="313">
        <v>60.094999999999999</v>
      </c>
      <c r="G8" s="232">
        <v>62.83</v>
      </c>
      <c r="H8" s="232">
        <v>67.400999999999996</v>
      </c>
      <c r="I8" s="232">
        <v>72.608000000000004</v>
      </c>
      <c r="J8" s="232">
        <v>79.225999999999999</v>
      </c>
      <c r="K8" s="232">
        <v>109.48</v>
      </c>
      <c r="L8" s="367">
        <v>156.82400000000001</v>
      </c>
      <c r="M8" s="232"/>
      <c r="N8" s="232"/>
    </row>
    <row r="9" spans="1:16" s="331" customFormat="1" ht="17.45" customHeight="1" x14ac:dyDescent="0.2">
      <c r="A9" s="222" t="s">
        <v>49</v>
      </c>
      <c r="B9" s="232">
        <v>80.411000000000001</v>
      </c>
      <c r="C9" s="232">
        <v>82.165000000000006</v>
      </c>
      <c r="D9" s="232">
        <v>83.424999999999997</v>
      </c>
      <c r="E9" s="232">
        <v>84.046000000000006</v>
      </c>
      <c r="F9" s="313">
        <v>85.938000000000002</v>
      </c>
      <c r="G9" s="232">
        <v>86.472999999999999</v>
      </c>
      <c r="H9" s="232">
        <v>86.477999999999994</v>
      </c>
      <c r="I9" s="232">
        <f>85121/1000</f>
        <v>85.120999999999995</v>
      </c>
      <c r="J9" s="232">
        <f>85070/1000</f>
        <v>85.07</v>
      </c>
      <c r="K9" s="232">
        <f>84903/1000</f>
        <v>84.903000000000006</v>
      </c>
      <c r="L9" s="367">
        <f>83371/1000</f>
        <v>83.370999999999995</v>
      </c>
      <c r="M9" s="232"/>
      <c r="N9" s="232"/>
    </row>
    <row r="10" spans="1:16" s="331" customFormat="1" ht="17.45" customHeight="1" x14ac:dyDescent="0.2">
      <c r="A10" s="222" t="s">
        <v>114</v>
      </c>
      <c r="B10" s="232">
        <v>126.69799999999999</v>
      </c>
      <c r="C10" s="232">
        <v>131.04300000000001</v>
      </c>
      <c r="D10" s="232">
        <v>134.17699999999999</v>
      </c>
      <c r="E10" s="232">
        <v>134.32900000000001</v>
      </c>
      <c r="F10" s="313">
        <v>136.244</v>
      </c>
      <c r="G10" s="232">
        <v>152.08000000000001</v>
      </c>
      <c r="H10" s="232">
        <v>174.09200000000001</v>
      </c>
      <c r="I10" s="232">
        <f>187428/1000</f>
        <v>187.428</v>
      </c>
      <c r="J10" s="232">
        <f>199225/1000</f>
        <v>199.22499999999999</v>
      </c>
      <c r="K10" s="232">
        <f>219337/1000</f>
        <v>219.33699999999999</v>
      </c>
      <c r="L10" s="367">
        <f>239146/1000</f>
        <v>239.14599999999999</v>
      </c>
      <c r="M10" s="232"/>
      <c r="N10" s="232"/>
    </row>
    <row r="11" spans="1:16" s="331" customFormat="1" ht="17.45" customHeight="1" x14ac:dyDescent="0.2">
      <c r="A11" s="222" t="s">
        <v>299</v>
      </c>
      <c r="B11" s="232">
        <v>140.6</v>
      </c>
      <c r="C11" s="232">
        <v>132.9</v>
      </c>
      <c r="D11" s="232">
        <v>135.1</v>
      </c>
      <c r="E11" s="232">
        <v>135.44900000000001</v>
      </c>
      <c r="F11" s="313">
        <v>135.17599999999999</v>
      </c>
      <c r="G11" s="232">
        <v>135.08000000000001</v>
      </c>
      <c r="H11" s="232">
        <v>134.75800000000001</v>
      </c>
      <c r="I11" s="232">
        <f>(138256+364)/1000</f>
        <v>138.62</v>
      </c>
      <c r="J11" s="232">
        <f>140613/1000</f>
        <v>140.613</v>
      </c>
      <c r="K11" s="232">
        <f>142041/1000</f>
        <v>142.041</v>
      </c>
      <c r="L11" s="367">
        <f>141663/1000</f>
        <v>141.66300000000001</v>
      </c>
      <c r="M11" s="232"/>
      <c r="N11" s="232"/>
    </row>
    <row r="12" spans="1:16" s="331" customFormat="1" ht="17.45" customHeight="1" x14ac:dyDescent="0.2">
      <c r="A12" s="368" t="s">
        <v>300</v>
      </c>
      <c r="B12" s="369">
        <v>200.72300000000001</v>
      </c>
      <c r="C12" s="369">
        <v>207.45</v>
      </c>
      <c r="D12" s="369">
        <v>213.35400000000001</v>
      </c>
      <c r="E12" s="369">
        <v>215.52099999999999</v>
      </c>
      <c r="F12" s="370">
        <v>226.173</v>
      </c>
      <c r="G12" s="369">
        <v>231.97399999999999</v>
      </c>
      <c r="H12" s="369">
        <v>256.786</v>
      </c>
      <c r="I12" s="369">
        <f>(260480-364)/1000</f>
        <v>260.11599999999999</v>
      </c>
      <c r="J12" s="369">
        <f>269247/1000</f>
        <v>269.24700000000001</v>
      </c>
      <c r="K12" s="369">
        <f>281637/1000</f>
        <v>281.637</v>
      </c>
      <c r="L12" s="371">
        <f>294473/1000</f>
        <v>294.47300000000001</v>
      </c>
      <c r="M12" s="232"/>
      <c r="N12" s="232"/>
    </row>
    <row r="13" spans="1:16" s="331" customFormat="1" ht="17.45" customHeight="1" x14ac:dyDescent="0.2">
      <c r="A13" s="356" t="s">
        <v>301</v>
      </c>
      <c r="B13" s="356"/>
      <c r="C13" s="356"/>
      <c r="D13" s="356"/>
      <c r="E13" s="356"/>
      <c r="F13" s="356"/>
      <c r="G13" s="356"/>
      <c r="H13" s="356"/>
      <c r="I13" s="356"/>
      <c r="J13" s="356"/>
      <c r="K13" s="356"/>
      <c r="L13" s="356"/>
      <c r="M13" s="356"/>
      <c r="N13" s="356"/>
      <c r="O13" s="356"/>
    </row>
    <row r="14" spans="1:16" s="331" customFormat="1" ht="17.45" customHeight="1" x14ac:dyDescent="0.2">
      <c r="A14" s="410" t="s">
        <v>302</v>
      </c>
      <c r="B14" s="410"/>
      <c r="C14" s="410"/>
      <c r="D14" s="410"/>
      <c r="E14" s="410"/>
      <c r="F14" s="410"/>
      <c r="G14" s="410"/>
      <c r="H14" s="410"/>
      <c r="I14" s="410"/>
      <c r="J14" s="410"/>
      <c r="K14" s="410"/>
      <c r="L14" s="410"/>
      <c r="M14" s="410"/>
      <c r="N14" s="410"/>
      <c r="O14" s="410"/>
    </row>
    <row r="15" spans="1:16" s="1" customFormat="1" ht="12.75" customHeight="1" x14ac:dyDescent="0.2">
      <c r="A15" s="362" t="s">
        <v>258</v>
      </c>
      <c r="B15" s="363"/>
      <c r="C15" s="363"/>
      <c r="D15" s="363"/>
      <c r="E15" s="363"/>
      <c r="F15" s="363"/>
      <c r="G15" s="364"/>
      <c r="H15" s="364"/>
      <c r="I15" s="364"/>
      <c r="J15" s="364"/>
      <c r="K15" s="364"/>
      <c r="P15" s="33"/>
    </row>
    <row r="16" spans="1:16" s="348" customFormat="1" ht="32.25" customHeight="1" x14ac:dyDescent="0.2">
      <c r="A16" s="409" t="s">
        <v>242</v>
      </c>
      <c r="B16" s="409"/>
      <c r="C16" s="409"/>
      <c r="D16" s="409"/>
      <c r="E16" s="409"/>
      <c r="F16" s="409"/>
      <c r="G16" s="409"/>
      <c r="H16" s="409"/>
      <c r="I16" s="409"/>
      <c r="J16" s="409"/>
      <c r="K16" s="409"/>
      <c r="L16" s="171"/>
      <c r="M16" s="171"/>
    </row>
    <row r="17" spans="1:6" ht="14.25" customHeight="1" x14ac:dyDescent="0.2"/>
    <row r="18" spans="1:6" ht="15" x14ac:dyDescent="0.25">
      <c r="A18" s="35" t="s">
        <v>303</v>
      </c>
    </row>
    <row r="19" spans="1:6" x14ac:dyDescent="0.2">
      <c r="A19" s="358" t="s">
        <v>215</v>
      </c>
    </row>
    <row r="20" spans="1:6" x14ac:dyDescent="0.2">
      <c r="F20" s="335"/>
    </row>
    <row r="40" spans="1:13" x14ac:dyDescent="0.2">
      <c r="A40" s="284"/>
    </row>
    <row r="41" spans="1:13" x14ac:dyDescent="0.2">
      <c r="A41" s="284"/>
    </row>
    <row r="44" spans="1:13" x14ac:dyDescent="0.2">
      <c r="M44" s="173"/>
    </row>
    <row r="51" spans="1:11" x14ac:dyDescent="0.2">
      <c r="A51" s="365"/>
    </row>
    <row r="56" spans="1:11" ht="12.75" customHeight="1" x14ac:dyDescent="0.2">
      <c r="A56" s="362" t="s">
        <v>258</v>
      </c>
      <c r="B56" s="363"/>
      <c r="C56" s="363"/>
      <c r="D56" s="363"/>
      <c r="E56" s="363"/>
      <c r="F56" s="363"/>
      <c r="G56" s="364"/>
      <c r="H56" s="364"/>
      <c r="I56" s="364"/>
      <c r="J56" s="364"/>
      <c r="K56" s="364"/>
    </row>
    <row r="57" spans="1:11" ht="24" customHeight="1" x14ac:dyDescent="0.2">
      <c r="A57" s="409" t="s">
        <v>352</v>
      </c>
      <c r="B57" s="409"/>
      <c r="C57" s="409"/>
      <c r="D57" s="409"/>
      <c r="E57" s="409"/>
      <c r="F57" s="409"/>
      <c r="G57" s="409"/>
      <c r="H57" s="409"/>
      <c r="I57" s="409"/>
      <c r="J57" s="409"/>
      <c r="K57" s="409"/>
    </row>
  </sheetData>
  <mergeCells count="3">
    <mergeCell ref="A14:O14"/>
    <mergeCell ref="A16:K16"/>
    <mergeCell ref="A57:K57"/>
  </mergeCells>
  <hyperlinks>
    <hyperlink ref="A3" location="Sommaire!A2"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showGridLines="0" zoomScaleNormal="100" workbookViewId="0">
      <selection activeCell="B1" sqref="B1"/>
    </sheetView>
  </sheetViews>
  <sheetFormatPr baseColWidth="10" defaultRowHeight="11.25" x14ac:dyDescent="0.2"/>
  <cols>
    <col min="1" max="1" width="9.7109375" style="29" customWidth="1"/>
    <col min="2" max="2" width="10.85546875" style="29" bestFit="1" customWidth="1"/>
    <col min="3" max="4" width="9.7109375" style="29" customWidth="1"/>
    <col min="5" max="5" width="7.7109375" style="29" customWidth="1"/>
    <col min="6" max="6" width="8.85546875" style="29" bestFit="1" customWidth="1"/>
    <col min="7" max="7" width="10.85546875" style="29" customWidth="1"/>
    <col min="8" max="11" width="9.7109375" style="29" customWidth="1"/>
    <col min="12" max="12" width="13.5703125" style="29" customWidth="1"/>
    <col min="13" max="16384" width="11.42578125" style="29"/>
  </cols>
  <sheetData>
    <row r="1" spans="1:11" ht="15.75" x14ac:dyDescent="0.2">
      <c r="A1" s="55" t="s">
        <v>307</v>
      </c>
      <c r="B1" s="55"/>
      <c r="C1" s="55"/>
      <c r="D1" s="55"/>
      <c r="E1" s="55"/>
      <c r="F1" s="28"/>
      <c r="G1" s="28"/>
      <c r="H1" s="28"/>
      <c r="I1" s="28"/>
      <c r="J1" s="28"/>
      <c r="K1" s="28"/>
    </row>
    <row r="2" spans="1:11" ht="15.75" x14ac:dyDescent="0.2">
      <c r="A2" s="191" t="s">
        <v>215</v>
      </c>
      <c r="B2" s="43"/>
      <c r="C2" s="43"/>
      <c r="D2" s="43"/>
      <c r="E2" s="43"/>
      <c r="F2" s="28"/>
      <c r="G2" s="28"/>
      <c r="H2" s="28"/>
      <c r="I2" s="28"/>
      <c r="J2" s="28"/>
      <c r="K2" s="28"/>
    </row>
    <row r="3" spans="1:11" ht="15.75" x14ac:dyDescent="0.2">
      <c r="A3" s="388" t="s">
        <v>346</v>
      </c>
      <c r="B3" s="43"/>
      <c r="C3" s="43"/>
      <c r="D3" s="43"/>
      <c r="E3" s="43"/>
      <c r="F3" s="28"/>
      <c r="G3" s="28"/>
      <c r="H3" s="28"/>
      <c r="I3" s="28"/>
      <c r="J3" s="28"/>
      <c r="K3" s="28"/>
    </row>
    <row r="4" spans="1:11" ht="12" x14ac:dyDescent="0.2">
      <c r="A4" s="30"/>
      <c r="G4" s="32" t="s">
        <v>123</v>
      </c>
      <c r="H4" s="28"/>
      <c r="I4" s="28"/>
      <c r="J4" s="28"/>
      <c r="K4" s="28"/>
    </row>
    <row r="5" spans="1:11" s="31" customFormat="1" ht="47.25" customHeight="1" x14ac:dyDescent="0.2">
      <c r="A5" s="84"/>
      <c r="B5" s="85" t="s">
        <v>252</v>
      </c>
      <c r="C5" s="85" t="s">
        <v>253</v>
      </c>
      <c r="D5" s="85" t="s">
        <v>52</v>
      </c>
      <c r="E5" s="85" t="s">
        <v>51</v>
      </c>
      <c r="F5" s="85" t="s">
        <v>8</v>
      </c>
      <c r="G5" s="85" t="s">
        <v>254</v>
      </c>
      <c r="H5" s="85" t="s">
        <v>255</v>
      </c>
      <c r="I5" s="86" t="s">
        <v>152</v>
      </c>
      <c r="J5" s="29"/>
      <c r="K5" s="28"/>
    </row>
    <row r="6" spans="1:11" s="31" customFormat="1" ht="12.75" x14ac:dyDescent="0.2">
      <c r="A6" s="58" t="s">
        <v>246</v>
      </c>
      <c r="B6" s="59">
        <v>100</v>
      </c>
      <c r="C6" s="59">
        <v>100</v>
      </c>
      <c r="D6" s="59">
        <v>100</v>
      </c>
      <c r="E6" s="59">
        <v>100</v>
      </c>
      <c r="F6" s="59">
        <v>100</v>
      </c>
      <c r="G6" s="59"/>
      <c r="H6" s="59"/>
      <c r="I6" s="60"/>
      <c r="J6" s="29"/>
      <c r="K6" s="28"/>
    </row>
    <row r="7" spans="1:11" s="31" customFormat="1" ht="12.75" x14ac:dyDescent="0.2">
      <c r="A7" s="58" t="s">
        <v>247</v>
      </c>
      <c r="B7" s="59">
        <v>101.03175043513923</v>
      </c>
      <c r="C7" s="59">
        <v>102.26686839695846</v>
      </c>
      <c r="D7" s="59">
        <v>103.2037627094372</v>
      </c>
      <c r="E7" s="59">
        <v>101.13174002729339</v>
      </c>
      <c r="F7" s="59">
        <v>101.52592112051572</v>
      </c>
      <c r="G7" s="59"/>
      <c r="H7" s="59"/>
      <c r="I7" s="60"/>
      <c r="J7" s="29"/>
      <c r="K7" s="73"/>
    </row>
    <row r="8" spans="1:11" s="31" customFormat="1" ht="12.75" x14ac:dyDescent="0.2">
      <c r="A8" s="58" t="s">
        <v>248</v>
      </c>
      <c r="B8" s="59">
        <v>102.27284817001289</v>
      </c>
      <c r="C8" s="59">
        <v>105.29412146674372</v>
      </c>
      <c r="D8" s="59">
        <v>105.47758842904196</v>
      </c>
      <c r="E8" s="59">
        <v>102.51743686037685</v>
      </c>
      <c r="F8" s="59">
        <v>103.08057537787268</v>
      </c>
      <c r="G8" s="59"/>
      <c r="H8" s="59"/>
      <c r="I8" s="60"/>
      <c r="J8" s="29"/>
      <c r="K8" s="73"/>
    </row>
    <row r="9" spans="1:11" s="31" customFormat="1" ht="12.75" x14ac:dyDescent="0.2">
      <c r="A9" s="58" t="s">
        <v>67</v>
      </c>
      <c r="B9" s="59">
        <v>104.4899275921457</v>
      </c>
      <c r="C9" s="59">
        <v>102.82205959701561</v>
      </c>
      <c r="D9" s="59">
        <v>108.63883717599886</v>
      </c>
      <c r="E9" s="59">
        <v>104.35490450467121</v>
      </c>
      <c r="F9" s="59">
        <v>105.16987881852747</v>
      </c>
      <c r="G9" s="59"/>
      <c r="H9" s="59"/>
      <c r="I9" s="60"/>
      <c r="J9" s="29"/>
      <c r="K9" s="73"/>
    </row>
    <row r="10" spans="1:11" s="31" customFormat="1" ht="12.75" x14ac:dyDescent="0.2">
      <c r="A10" s="58" t="s">
        <v>68</v>
      </c>
      <c r="B10" s="59">
        <v>106.43479832590799</v>
      </c>
      <c r="C10" s="59">
        <v>109.65058668450204</v>
      </c>
      <c r="D10" s="59">
        <v>106.98974294715738</v>
      </c>
      <c r="E10" s="59">
        <v>106.69513408036201</v>
      </c>
      <c r="F10" s="59">
        <v>106.75118039982905</v>
      </c>
      <c r="G10" s="59"/>
      <c r="H10" s="59"/>
      <c r="I10" s="60"/>
      <c r="J10" s="29"/>
      <c r="K10" s="73"/>
    </row>
    <row r="11" spans="1:11" s="31" customFormat="1" ht="12.75" x14ac:dyDescent="0.2">
      <c r="A11" s="58" t="s">
        <v>83</v>
      </c>
      <c r="B11" s="59">
        <v>109.22232054045922</v>
      </c>
      <c r="C11" s="59">
        <v>109.46487360471686</v>
      </c>
      <c r="D11" s="59">
        <v>110.04291672633539</v>
      </c>
      <c r="E11" s="59">
        <v>109.24195654505196</v>
      </c>
      <c r="F11" s="59">
        <v>109.39433101595263</v>
      </c>
      <c r="G11" s="59">
        <v>109.22299471205132</v>
      </c>
      <c r="H11" s="59">
        <v>109.45725660325893</v>
      </c>
      <c r="I11" s="60">
        <v>110.04291672633539</v>
      </c>
      <c r="J11" s="29"/>
      <c r="K11" s="73"/>
    </row>
    <row r="12" spans="1:11" s="31" customFormat="1" ht="12.75" x14ac:dyDescent="0.2">
      <c r="A12" s="58" t="s">
        <v>120</v>
      </c>
      <c r="B12" s="59">
        <v>110.69667463826102</v>
      </c>
      <c r="C12" s="59">
        <v>107.45060097012357</v>
      </c>
      <c r="D12" s="59">
        <v>115.58002470284978</v>
      </c>
      <c r="E12" s="59">
        <v>110.43388712143036</v>
      </c>
      <c r="F12" s="59">
        <v>111.41288708856277</v>
      </c>
      <c r="G12" s="59">
        <v>110.68797726297241</v>
      </c>
      <c r="H12" s="59">
        <v>106.89511387586158</v>
      </c>
      <c r="I12" s="60">
        <v>113.42926571674066</v>
      </c>
      <c r="J12" s="29"/>
      <c r="K12" s="73"/>
    </row>
    <row r="13" spans="1:11" s="31" customFormat="1" ht="12.75" x14ac:dyDescent="0.2">
      <c r="A13" s="58" t="s">
        <v>153</v>
      </c>
      <c r="B13" s="59">
        <v>111.66945319743681</v>
      </c>
      <c r="C13" s="59">
        <v>111.54797696118857</v>
      </c>
      <c r="D13" s="59">
        <v>126.58353322354289</v>
      </c>
      <c r="E13" s="59">
        <v>111.6596190279936</v>
      </c>
      <c r="F13" s="59">
        <v>114.4987408500922</v>
      </c>
      <c r="G13" s="59">
        <v>111.69302210141669</v>
      </c>
      <c r="H13" s="59">
        <v>109.54815877807789</v>
      </c>
      <c r="I13" s="60">
        <v>117.05995811255907</v>
      </c>
      <c r="J13" s="29"/>
      <c r="K13" s="73"/>
    </row>
    <row r="14" spans="1:11" s="31" customFormat="1" ht="12.75" x14ac:dyDescent="0.2">
      <c r="A14" s="58" t="s">
        <v>154</v>
      </c>
      <c r="B14" s="59">
        <v>113.79066757193168</v>
      </c>
      <c r="C14" s="59">
        <v>113.67198914292764</v>
      </c>
      <c r="D14" s="59">
        <v>132.04791994844624</v>
      </c>
      <c r="E14" s="59">
        <v>113.78105990037281</v>
      </c>
      <c r="F14" s="59">
        <v>117.2561429318186</v>
      </c>
      <c r="G14" s="59">
        <v>113.72650619745744</v>
      </c>
      <c r="H14" s="59">
        <v>113.8458837432687</v>
      </c>
      <c r="I14" s="60">
        <v>124.96912143777746</v>
      </c>
      <c r="K14" s="73"/>
    </row>
    <row r="15" spans="1:11" s="31" customFormat="1" ht="12.75" x14ac:dyDescent="0.2">
      <c r="A15" s="58" t="s">
        <v>249</v>
      </c>
      <c r="B15" s="59">
        <v>115.06099385056606</v>
      </c>
      <c r="C15" s="59">
        <v>115.68496308465529</v>
      </c>
      <c r="D15" s="59">
        <v>138.11331984820279</v>
      </c>
      <c r="E15" s="59">
        <v>115.11150759189441</v>
      </c>
      <c r="F15" s="59">
        <v>119.48736678466408</v>
      </c>
      <c r="G15" s="59">
        <v>114.92013636584029</v>
      </c>
      <c r="H15" s="59">
        <v>114.00561185045059</v>
      </c>
      <c r="I15" s="60">
        <v>129.43062616354004</v>
      </c>
      <c r="K15" s="73"/>
    </row>
    <row r="16" spans="1:11" s="31" customFormat="1" ht="12.75" x14ac:dyDescent="0.2">
      <c r="A16" s="298" t="s">
        <v>250</v>
      </c>
      <c r="B16" s="299">
        <v>116.73943296625104</v>
      </c>
      <c r="C16" s="59">
        <v>119.76870280063116</v>
      </c>
      <c r="D16" s="59">
        <v>149.94092796792211</v>
      </c>
      <c r="E16" s="59">
        <v>116.98466902031865</v>
      </c>
      <c r="F16" s="59">
        <v>123.25425974074622</v>
      </c>
      <c r="G16" s="59">
        <v>116.56003366924917</v>
      </c>
      <c r="H16" s="59">
        <v>118.73187563978793</v>
      </c>
      <c r="I16" s="60">
        <v>137.95601818702565</v>
      </c>
      <c r="K16" s="73"/>
    </row>
    <row r="17" spans="1:13" s="31" customFormat="1" ht="13.5" thickBot="1" x14ac:dyDescent="0.25">
      <c r="A17" s="61" t="s">
        <v>251</v>
      </c>
      <c r="B17" s="62">
        <v>116.98252750829238</v>
      </c>
      <c r="C17" s="62">
        <v>121.39726365413212</v>
      </c>
      <c r="D17" s="62">
        <v>164.86198625232709</v>
      </c>
      <c r="E17" s="62">
        <v>117.33992468033298</v>
      </c>
      <c r="F17" s="62">
        <v>126.38051016429395</v>
      </c>
      <c r="G17" s="62">
        <v>116.75416730886442</v>
      </c>
      <c r="H17" s="62">
        <v>120.27266750296934</v>
      </c>
      <c r="I17" s="63">
        <v>151.08969998567949</v>
      </c>
      <c r="K17" s="73"/>
    </row>
    <row r="18" spans="1:13" ht="15.75" customHeight="1" x14ac:dyDescent="0.2">
      <c r="A18" s="301" t="s">
        <v>258</v>
      </c>
      <c r="B18" s="193"/>
      <c r="C18" s="193"/>
      <c r="D18" s="193"/>
      <c r="E18" s="193"/>
      <c r="F18" s="193"/>
      <c r="G18" s="192"/>
      <c r="H18" s="192"/>
      <c r="I18" s="192"/>
      <c r="J18" s="192"/>
      <c r="K18" s="192"/>
    </row>
    <row r="19" spans="1:13" ht="43.5" customHeight="1" x14ac:dyDescent="0.2">
      <c r="A19" s="409" t="s">
        <v>352</v>
      </c>
      <c r="B19" s="409"/>
      <c r="C19" s="409"/>
      <c r="D19" s="409"/>
      <c r="E19" s="409"/>
      <c r="F19" s="409"/>
      <c r="G19" s="409"/>
      <c r="H19" s="409"/>
      <c r="I19" s="409"/>
      <c r="J19" s="409"/>
      <c r="K19" s="409"/>
    </row>
    <row r="20" spans="1:13" x14ac:dyDescent="0.2">
      <c r="K20" s="57"/>
    </row>
    <row r="21" spans="1:13" s="31" customFormat="1" ht="45" customHeight="1" x14ac:dyDescent="0.2">
      <c r="A21" s="411" t="s">
        <v>221</v>
      </c>
      <c r="B21" s="411"/>
      <c r="C21" s="411"/>
      <c r="D21" s="411"/>
      <c r="E21" s="411"/>
      <c r="F21" s="411"/>
      <c r="G21" s="411"/>
      <c r="H21" s="411"/>
      <c r="I21" s="411"/>
      <c r="J21" s="411"/>
      <c r="K21" s="411"/>
    </row>
    <row r="22" spans="1:13" s="31" customFormat="1" ht="10.5" customHeight="1" x14ac:dyDescent="0.2">
      <c r="A22" s="202" t="s">
        <v>215</v>
      </c>
      <c r="B22" s="296"/>
      <c r="C22" s="296"/>
      <c r="D22" s="296"/>
      <c r="E22" s="296"/>
      <c r="F22" s="296"/>
      <c r="G22" s="296"/>
      <c r="H22" s="296"/>
      <c r="I22" s="296"/>
      <c r="J22" s="296"/>
      <c r="K22" s="296"/>
    </row>
    <row r="23" spans="1:13" s="31" customFormat="1" ht="12.75" x14ac:dyDescent="0.2">
      <c r="M23" s="34"/>
    </row>
    <row r="24" spans="1:13" s="31" customFormat="1" ht="12.75" x14ac:dyDescent="0.2"/>
    <row r="25" spans="1:13" s="31" customFormat="1" ht="12.75" x14ac:dyDescent="0.2"/>
    <row r="26" spans="1:13" s="31" customFormat="1" ht="12.75" x14ac:dyDescent="0.2"/>
    <row r="27" spans="1:13" s="31" customFormat="1" ht="12.75" x14ac:dyDescent="0.2"/>
    <row r="28" spans="1:13" s="31" customFormat="1" ht="12.75" x14ac:dyDescent="0.2"/>
    <row r="29" spans="1:13" s="31" customFormat="1" ht="12.75" x14ac:dyDescent="0.2"/>
    <row r="30" spans="1:13" s="31" customFormat="1" ht="12.75" x14ac:dyDescent="0.2"/>
    <row r="31" spans="1:13" s="31" customFormat="1" ht="12.75" x14ac:dyDescent="0.2"/>
    <row r="32" spans="1:13" s="31" customFormat="1" ht="12.75" x14ac:dyDescent="0.2"/>
    <row r="33" spans="1:13" s="31" customFormat="1" ht="12.75" x14ac:dyDescent="0.2"/>
    <row r="34" spans="1:13" s="31" customFormat="1" ht="12.75" x14ac:dyDescent="0.2"/>
    <row r="35" spans="1:13" s="31" customFormat="1" ht="12.75" x14ac:dyDescent="0.2"/>
    <row r="36" spans="1:13" s="31" customFormat="1" ht="12.75" x14ac:dyDescent="0.2"/>
    <row r="37" spans="1:13" s="31" customFormat="1" ht="12.75" x14ac:dyDescent="0.2"/>
    <row r="38" spans="1:13" s="31" customFormat="1" ht="12.75" x14ac:dyDescent="0.2"/>
    <row r="39" spans="1:13" s="31" customFormat="1" ht="12.75" x14ac:dyDescent="0.2"/>
    <row r="40" spans="1:13" s="31" customFormat="1" ht="12.75" x14ac:dyDescent="0.2"/>
    <row r="41" spans="1:13" s="31" customFormat="1" ht="12.75" x14ac:dyDescent="0.2"/>
    <row r="42" spans="1:13" s="31" customFormat="1" ht="12.75" x14ac:dyDescent="0.2"/>
    <row r="43" spans="1:13" s="31" customFormat="1" ht="12.75" x14ac:dyDescent="0.2"/>
    <row r="44" spans="1:13" s="31" customFormat="1" ht="12.75" x14ac:dyDescent="0.2"/>
    <row r="45" spans="1:13" s="31" customFormat="1" ht="12.75" x14ac:dyDescent="0.2"/>
    <row r="46" spans="1:13" s="31" customFormat="1" ht="12.75" x14ac:dyDescent="0.2"/>
    <row r="47" spans="1:13" s="31" customFormat="1" ht="13.5" customHeight="1" x14ac:dyDescent="0.2"/>
    <row r="48" spans="1:13" ht="19.5" customHeight="1" x14ac:dyDescent="0.2">
      <c r="A48" s="300" t="s">
        <v>256</v>
      </c>
      <c r="B48" s="291"/>
      <c r="C48" s="291"/>
      <c r="D48" s="291"/>
      <c r="E48" s="291"/>
      <c r="F48" s="291"/>
      <c r="G48" s="300"/>
      <c r="H48" s="300"/>
      <c r="I48" s="300"/>
      <c r="J48" s="300"/>
      <c r="K48" s="300"/>
      <c r="L48" s="300"/>
      <c r="M48" s="300"/>
    </row>
    <row r="49" spans="1:13" ht="24.75" customHeight="1" x14ac:dyDescent="0.2">
      <c r="A49" s="412" t="s">
        <v>257</v>
      </c>
      <c r="B49" s="412"/>
      <c r="C49" s="412"/>
      <c r="D49" s="412"/>
      <c r="E49" s="412"/>
      <c r="F49" s="412"/>
      <c r="G49" s="412"/>
      <c r="H49" s="412"/>
      <c r="I49" s="412"/>
      <c r="J49" s="412"/>
      <c r="K49" s="412"/>
      <c r="L49" s="412"/>
      <c r="M49" s="412"/>
    </row>
    <row r="50" spans="1:13" ht="12.75" x14ac:dyDescent="0.2">
      <c r="A50" s="301" t="s">
        <v>258</v>
      </c>
      <c r="B50" s="193"/>
      <c r="C50" s="193"/>
      <c r="D50" s="193"/>
      <c r="E50" s="193"/>
      <c r="F50" s="193"/>
      <c r="G50" s="192"/>
      <c r="H50" s="192"/>
      <c r="I50" s="192"/>
      <c r="J50" s="192"/>
      <c r="K50" s="192"/>
    </row>
    <row r="51" spans="1:13" ht="45.75" customHeight="1" x14ac:dyDescent="0.2">
      <c r="A51" s="409" t="s">
        <v>352</v>
      </c>
      <c r="B51" s="409"/>
      <c r="C51" s="409"/>
      <c r="D51" s="409"/>
      <c r="E51" s="409"/>
      <c r="F51" s="409"/>
      <c r="G51" s="409"/>
      <c r="H51" s="409"/>
      <c r="I51" s="409"/>
      <c r="J51" s="409"/>
      <c r="K51" s="409"/>
    </row>
  </sheetData>
  <mergeCells count="4">
    <mergeCell ref="A21:K21"/>
    <mergeCell ref="A51:K51"/>
    <mergeCell ref="A19:K19"/>
    <mergeCell ref="A49:M49"/>
  </mergeCells>
  <hyperlinks>
    <hyperlink ref="A3"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9"/>
  <sheetViews>
    <sheetView showGridLines="0" zoomScaleNormal="100" zoomScaleSheetLayoutView="100" workbookViewId="0"/>
  </sheetViews>
  <sheetFormatPr baseColWidth="10" defaultRowHeight="12.75" x14ac:dyDescent="0.2"/>
  <cols>
    <col min="1" max="1" width="53.85546875" style="7" customWidth="1"/>
    <col min="2" max="6" width="11.42578125" style="7"/>
    <col min="7" max="7" width="27.28515625" style="7" customWidth="1"/>
    <col min="8" max="8" width="11.42578125" style="7"/>
    <col min="9" max="9" width="14.42578125" style="7" bestFit="1" customWidth="1"/>
    <col min="10" max="11" width="11.85546875" style="7" bestFit="1" customWidth="1"/>
    <col min="12" max="16384" width="11.42578125" style="7"/>
  </cols>
  <sheetData>
    <row r="1" spans="1:11" ht="15.75" x14ac:dyDescent="0.2">
      <c r="A1" s="55" t="s">
        <v>308</v>
      </c>
      <c r="B1" s="171"/>
      <c r="C1" s="171"/>
      <c r="D1" s="171"/>
    </row>
    <row r="2" spans="1:11" x14ac:dyDescent="0.2">
      <c r="A2" s="388" t="s">
        <v>346</v>
      </c>
      <c r="B2" s="171"/>
      <c r="C2" s="171"/>
      <c r="D2" s="171"/>
    </row>
    <row r="3" spans="1:11" x14ac:dyDescent="0.2">
      <c r="A3" s="289"/>
      <c r="B3" s="14" t="s">
        <v>259</v>
      </c>
      <c r="C3" s="15" t="s">
        <v>260</v>
      </c>
      <c r="D3" s="171"/>
    </row>
    <row r="4" spans="1:11" x14ac:dyDescent="0.2">
      <c r="A4" s="302" t="s">
        <v>81</v>
      </c>
      <c r="B4" s="303">
        <v>26.47</v>
      </c>
      <c r="C4" s="304">
        <v>29.2</v>
      </c>
      <c r="D4" s="281"/>
    </row>
    <row r="5" spans="1:11" x14ac:dyDescent="0.2">
      <c r="A5" s="305" t="s">
        <v>268</v>
      </c>
      <c r="B5" s="303">
        <v>39.83</v>
      </c>
      <c r="C5" s="304">
        <v>40.049999999999997</v>
      </c>
      <c r="D5" s="281"/>
    </row>
    <row r="6" spans="1:11" x14ac:dyDescent="0.2">
      <c r="A6" s="305" t="s">
        <v>49</v>
      </c>
      <c r="B6" s="303">
        <v>41.89</v>
      </c>
      <c r="C6" s="304">
        <v>41.28</v>
      </c>
      <c r="D6" s="281"/>
      <c r="F6" s="7" t="s">
        <v>117</v>
      </c>
    </row>
    <row r="7" spans="1:11" x14ac:dyDescent="0.2">
      <c r="A7" s="302" t="s">
        <v>108</v>
      </c>
      <c r="B7" s="303">
        <v>37.96</v>
      </c>
      <c r="C7" s="304">
        <v>42.32</v>
      </c>
      <c r="D7" s="281"/>
    </row>
    <row r="8" spans="1:11" x14ac:dyDescent="0.2">
      <c r="A8" s="302" t="s">
        <v>240</v>
      </c>
      <c r="B8" s="303">
        <v>37.479999999999997</v>
      </c>
      <c r="C8" s="304">
        <v>43.21</v>
      </c>
      <c r="D8" s="281"/>
    </row>
    <row r="9" spans="1:11" x14ac:dyDescent="0.2">
      <c r="A9" s="302" t="s">
        <v>234</v>
      </c>
      <c r="B9" s="303">
        <v>51.1</v>
      </c>
      <c r="C9" s="304">
        <v>48.49</v>
      </c>
      <c r="D9" s="281"/>
    </row>
    <row r="10" spans="1:11" x14ac:dyDescent="0.2">
      <c r="A10" s="302" t="s">
        <v>55</v>
      </c>
      <c r="B10" s="303">
        <v>49.61</v>
      </c>
      <c r="C10" s="304">
        <v>51.38</v>
      </c>
      <c r="D10" s="281"/>
    </row>
    <row r="11" spans="1:11" x14ac:dyDescent="0.2">
      <c r="A11" s="306" t="s">
        <v>261</v>
      </c>
      <c r="B11" s="303">
        <v>55.185822022254449</v>
      </c>
      <c r="C11" s="304">
        <v>55.609619068918967</v>
      </c>
      <c r="D11" s="281"/>
    </row>
    <row r="12" spans="1:11" x14ac:dyDescent="0.2">
      <c r="A12" s="305" t="s">
        <v>270</v>
      </c>
      <c r="B12" s="303">
        <v>58.59</v>
      </c>
      <c r="C12" s="304">
        <v>60.25</v>
      </c>
      <c r="D12" s="281"/>
      <c r="I12" s="74"/>
      <c r="J12" s="74"/>
      <c r="K12" s="74"/>
    </row>
    <row r="13" spans="1:11" x14ac:dyDescent="0.2">
      <c r="A13" s="305" t="s">
        <v>109</v>
      </c>
      <c r="B13" s="303">
        <v>59.21</v>
      </c>
      <c r="C13" s="304">
        <v>62.26</v>
      </c>
      <c r="D13" s="281"/>
      <c r="I13" s="74"/>
      <c r="J13" s="74"/>
      <c r="K13" s="74"/>
    </row>
    <row r="14" spans="1:11" x14ac:dyDescent="0.2">
      <c r="A14" s="305" t="s">
        <v>110</v>
      </c>
      <c r="B14" s="303">
        <v>62.96</v>
      </c>
      <c r="C14" s="304">
        <v>66.05</v>
      </c>
      <c r="D14" s="281"/>
      <c r="I14" s="74"/>
      <c r="J14" s="74"/>
      <c r="K14" s="74"/>
    </row>
    <row r="15" spans="1:11" x14ac:dyDescent="0.2">
      <c r="A15" s="305" t="s">
        <v>126</v>
      </c>
      <c r="B15" s="303">
        <v>70.349999999999994</v>
      </c>
      <c r="C15" s="304">
        <v>70.22</v>
      </c>
      <c r="D15" s="281"/>
    </row>
    <row r="16" spans="1:11" ht="13.5" thickBot="1" x14ac:dyDescent="0.25">
      <c r="A16" s="307" t="s">
        <v>262</v>
      </c>
      <c r="B16" s="308">
        <v>83.52</v>
      </c>
      <c r="C16" s="309">
        <v>86.72</v>
      </c>
      <c r="D16" s="281"/>
    </row>
    <row r="17" spans="1:4" x14ac:dyDescent="0.2">
      <c r="A17" s="310" t="s">
        <v>263</v>
      </c>
      <c r="B17" s="171"/>
      <c r="C17" s="171"/>
      <c r="D17" s="171"/>
    </row>
    <row r="18" spans="1:4" x14ac:dyDescent="0.2">
      <c r="A18" s="310" t="s">
        <v>264</v>
      </c>
      <c r="B18" s="171"/>
      <c r="C18" s="171"/>
      <c r="D18" s="171"/>
    </row>
    <row r="19" spans="1:4" x14ac:dyDescent="0.2">
      <c r="A19" s="336" t="s">
        <v>216</v>
      </c>
      <c r="B19" s="171"/>
      <c r="C19" s="171"/>
      <c r="D19" s="337"/>
    </row>
    <row r="20" spans="1:4" ht="45.75" customHeight="1" x14ac:dyDescent="0.2">
      <c r="A20" s="413" t="s">
        <v>352</v>
      </c>
      <c r="B20" s="413"/>
      <c r="C20" s="413"/>
      <c r="D20" s="413"/>
    </row>
    <row r="21" spans="1:4" ht="15.75" x14ac:dyDescent="0.2">
      <c r="A21" s="13" t="s">
        <v>185</v>
      </c>
    </row>
    <row r="42" spans="1:7" x14ac:dyDescent="0.2">
      <c r="E42" s="17"/>
      <c r="F42" s="17"/>
      <c r="G42" s="17"/>
    </row>
    <row r="48" spans="1:7" x14ac:dyDescent="0.2">
      <c r="A48" s="16"/>
    </row>
    <row r="49" spans="1:9" x14ac:dyDescent="0.2">
      <c r="A49" s="11"/>
    </row>
    <row r="55" spans="1:9" x14ac:dyDescent="0.2">
      <c r="A55" s="17"/>
      <c r="B55" s="17"/>
      <c r="C55" s="17"/>
    </row>
    <row r="56" spans="1:9" x14ac:dyDescent="0.2">
      <c r="A56" s="310" t="s">
        <v>263</v>
      </c>
    </row>
    <row r="57" spans="1:9" x14ac:dyDescent="0.2">
      <c r="A57" s="310" t="s">
        <v>264</v>
      </c>
    </row>
    <row r="58" spans="1:9" ht="14.25" customHeight="1" x14ac:dyDescent="0.2">
      <c r="A58" s="195" t="s">
        <v>216</v>
      </c>
      <c r="B58" s="194"/>
      <c r="C58" s="194"/>
      <c r="D58" s="196"/>
    </row>
    <row r="59" spans="1:9" ht="45.75" customHeight="1" x14ac:dyDescent="0.2">
      <c r="A59" s="407" t="s">
        <v>352</v>
      </c>
      <c r="B59" s="407"/>
      <c r="C59" s="407"/>
      <c r="D59" s="407"/>
      <c r="E59" s="107"/>
      <c r="F59" s="107"/>
      <c r="G59" s="107"/>
      <c r="H59" s="107"/>
      <c r="I59" s="107"/>
    </row>
  </sheetData>
  <mergeCells count="2">
    <mergeCell ref="A59:D59"/>
    <mergeCell ref="A20:D20"/>
  </mergeCells>
  <hyperlinks>
    <hyperlink ref="A2" location="Sommaire!A2" display="Retour au sommaire"/>
  </hyperlinks>
  <pageMargins left="0.78740157499999996" right="0.78740157499999996" top="0.4" bottom="0.984251969" header="0.31" footer="0.4921259845"/>
  <pageSetup paperSize="9" scale="81" orientation="landscape" r:id="rId1"/>
  <headerFooter alignWithMargins="0"/>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Sommaire</vt:lpstr>
      <vt:lpstr>Tableau 1</vt:lpstr>
      <vt:lpstr>Tableau 2</vt:lpstr>
      <vt:lpstr>Tableau 3</vt:lpstr>
      <vt:lpstr>Cartes</vt:lpstr>
      <vt:lpstr>Graphique 1</vt:lpstr>
      <vt:lpstr>Graphique 2</vt:lpstr>
      <vt:lpstr>Graphique 3</vt:lpstr>
      <vt:lpstr>Graphique 4</vt:lpstr>
      <vt:lpstr>Graphique 5</vt:lpstr>
      <vt:lpstr>Graphique 6</vt:lpstr>
      <vt:lpstr>Graphique 7</vt:lpstr>
      <vt:lpstr>Annexe 1</vt:lpstr>
      <vt:lpstr>Annexe 2</vt:lpstr>
      <vt:lpstr>Annexe 3</vt:lpstr>
      <vt:lpstr>Annexe 4</vt:lpstr>
      <vt:lpstr>'Graphique 5'!Zone_d_impression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c:creator>
  <cp:lastModifiedBy>Administration centrale</cp:lastModifiedBy>
  <cp:lastPrinted>2021-10-07T12:35:31Z</cp:lastPrinted>
  <dcterms:created xsi:type="dcterms:W3CDTF">2002-09-18T09:28:56Z</dcterms:created>
  <dcterms:modified xsi:type="dcterms:W3CDTF">2022-12-19T09:11:49Z</dcterms:modified>
</cp:coreProperties>
</file>