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5.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6.xml" ContentType="application/vnd.openxmlformats-officedocument.drawingml.chart+xml"/>
  <Override PartName="/xl/drawings/drawing13.xml" ContentType="application/vnd.openxmlformats-officedocument.drawingml.chartshapes+xml"/>
  <Override PartName="/xl/charts/chart7.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8.xml" ContentType="application/vnd.openxmlformats-officedocument.drawingml.chart+xml"/>
  <Override PartName="/xl/drawings/drawing16.xml" ContentType="application/vnd.openxmlformats-officedocument.drawingml.chartshapes+xml"/>
  <Override PartName="/xl/charts/chart9.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0.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11.xml" ContentType="application/vnd.openxmlformats-officedocument.drawingml.chart+xml"/>
  <Override PartName="/xl/drawings/drawing21.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str-dgesip-dgri-a2-1-sup\Convergence BCP-Synthèse\NI Synthèse\2022-2023\"/>
    </mc:Choice>
  </mc:AlternateContent>
  <bookViews>
    <workbookView xWindow="360" yWindow="1560" windowWidth="12885" windowHeight="5460" tabRatio="662"/>
  </bookViews>
  <sheets>
    <sheet name="Sommaire" sheetId="45" r:id="rId1"/>
    <sheet name="Tableau 1" sheetId="12" r:id="rId2"/>
    <sheet name="Tableau 2" sheetId="30" r:id="rId3"/>
    <sheet name="Tableau 3" sheetId="29" r:id="rId4"/>
    <sheet name="Cartes" sheetId="42" r:id="rId5"/>
    <sheet name="Graphique 1" sheetId="49" r:id="rId6"/>
    <sheet name="Graphique 2" sheetId="50" r:id="rId7"/>
    <sheet name="Graphique 3" sheetId="52" r:id="rId8"/>
    <sheet name="Graphique 4" sheetId="32" r:id="rId9"/>
    <sheet name="Graphique 5" sheetId="36" r:id="rId10"/>
    <sheet name="Graphique 6" sheetId="35" r:id="rId11"/>
    <sheet name="Graphique 7" sheetId="33" r:id="rId12"/>
    <sheet name="Graphique 8" sheetId="34" r:id="rId13"/>
    <sheet name="Annexe 1" sheetId="1" r:id="rId14"/>
    <sheet name="Annexe 2" sheetId="47" r:id="rId15"/>
    <sheet name="Annexe 3" sheetId="48" r:id="rId16"/>
    <sheet name="Annexe 4" sheetId="46" r:id="rId17"/>
  </sheets>
  <definedNames>
    <definedName name="_xlnm.Print_Area" localSheetId="13">'Annexe 1'!#REF!</definedName>
    <definedName name="_xlnm.Print_Area" localSheetId="10">'Graphique 6'!$A$3:$J$21</definedName>
  </definedNames>
  <calcPr calcId="162913"/>
</workbook>
</file>

<file path=xl/calcChain.xml><?xml version="1.0" encoding="utf-8"?>
<calcChain xmlns="http://schemas.openxmlformats.org/spreadsheetml/2006/main">
  <c r="A10" i="45" l="1"/>
  <c r="Q15" i="1" l="1"/>
  <c r="Q10" i="1"/>
  <c r="M16" i="48" l="1"/>
  <c r="M17" i="48"/>
  <c r="M18" i="48"/>
  <c r="M19" i="48"/>
  <c r="M20" i="48"/>
  <c r="M21" i="48"/>
  <c r="M15" i="48"/>
  <c r="I16" i="48"/>
  <c r="I17" i="48"/>
  <c r="I18" i="48"/>
  <c r="I19" i="48"/>
  <c r="I20" i="48"/>
  <c r="I21" i="48"/>
  <c r="I15" i="48"/>
  <c r="H16" i="48"/>
  <c r="H17" i="48"/>
  <c r="H18" i="48"/>
  <c r="H19" i="48"/>
  <c r="H20" i="48"/>
  <c r="H21" i="48"/>
  <c r="H15" i="48"/>
  <c r="J5" i="48"/>
  <c r="J6" i="48"/>
  <c r="J7" i="48"/>
  <c r="J8" i="48"/>
  <c r="J9" i="48"/>
  <c r="J4" i="48"/>
  <c r="P18" i="1"/>
  <c r="P17" i="1"/>
  <c r="Q16" i="1"/>
  <c r="O16" i="1"/>
  <c r="O15" i="1"/>
  <c r="P15" i="1" s="1"/>
  <c r="N15" i="1"/>
  <c r="Q14" i="1"/>
  <c r="O14" i="1"/>
  <c r="N14" i="1"/>
  <c r="Q13" i="1"/>
  <c r="P13" i="1"/>
  <c r="O13" i="1"/>
  <c r="N13" i="1"/>
  <c r="Q12" i="1"/>
  <c r="O12" i="1"/>
  <c r="P12" i="1" s="1"/>
  <c r="N12" i="1"/>
  <c r="Q11" i="1"/>
  <c r="O11" i="1"/>
  <c r="P11" i="1" s="1"/>
  <c r="O10" i="1"/>
  <c r="P10" i="1" s="1"/>
  <c r="N10" i="1"/>
  <c r="Q9" i="1"/>
  <c r="O9" i="1"/>
  <c r="P9" i="1" s="1"/>
  <c r="N9" i="1"/>
  <c r="N16" i="1" s="1"/>
  <c r="P16" i="1" s="1"/>
  <c r="Q8" i="1"/>
  <c r="O8" i="1"/>
  <c r="P8" i="1" s="1"/>
  <c r="N8" i="1"/>
  <c r="Q7" i="1"/>
  <c r="O7" i="1"/>
  <c r="P7" i="1" s="1"/>
  <c r="N7" i="1"/>
  <c r="Q6" i="1"/>
  <c r="O6" i="1"/>
  <c r="P6" i="1" s="1"/>
  <c r="N6" i="1"/>
  <c r="K9" i="34"/>
  <c r="K8" i="34"/>
  <c r="K7" i="34"/>
  <c r="K6" i="34"/>
  <c r="K5" i="34"/>
  <c r="K4" i="34"/>
  <c r="G13" i="33"/>
  <c r="F13" i="33"/>
  <c r="B13" i="33"/>
  <c r="E13" i="33" s="1"/>
  <c r="M12" i="50" l="1"/>
  <c r="M11" i="50"/>
  <c r="M10" i="50"/>
  <c r="M9" i="50"/>
  <c r="M8" i="50"/>
  <c r="M7" i="50"/>
  <c r="M6" i="50"/>
  <c r="M5" i="50"/>
  <c r="L12" i="50"/>
  <c r="L11" i="50"/>
  <c r="A19" i="45" l="1"/>
  <c r="A16" i="45" l="1"/>
  <c r="A8" i="45"/>
  <c r="A4" i="45"/>
  <c r="K12" i="50" l="1"/>
  <c r="J12" i="50"/>
  <c r="I12" i="50"/>
  <c r="K11" i="50"/>
  <c r="J11" i="50"/>
  <c r="I11" i="50"/>
  <c r="L10" i="50"/>
  <c r="K10" i="50"/>
  <c r="J10" i="50"/>
  <c r="I10" i="50"/>
  <c r="L9" i="50"/>
  <c r="K9" i="50"/>
  <c r="J9" i="50"/>
  <c r="I9" i="50"/>
  <c r="L7" i="50"/>
  <c r="K7" i="50"/>
  <c r="J7" i="50"/>
  <c r="I7" i="50"/>
  <c r="L5" i="50"/>
  <c r="K5" i="50"/>
  <c r="J5" i="50"/>
  <c r="I5" i="50"/>
  <c r="B15" i="48" l="1"/>
  <c r="C15" i="48"/>
  <c r="D15" i="48"/>
  <c r="E15" i="48"/>
  <c r="F15" i="48"/>
  <c r="G15" i="48"/>
  <c r="B16" i="48"/>
  <c r="C16" i="48"/>
  <c r="D16" i="48"/>
  <c r="E16" i="48"/>
  <c r="F16" i="48"/>
  <c r="G16" i="48"/>
  <c r="B17" i="48"/>
  <c r="C17" i="48"/>
  <c r="D17" i="48"/>
  <c r="E17" i="48"/>
  <c r="F17" i="48"/>
  <c r="G17" i="48"/>
  <c r="B18" i="48"/>
  <c r="C18" i="48"/>
  <c r="D18" i="48"/>
  <c r="E18" i="48"/>
  <c r="F18" i="48"/>
  <c r="G18" i="48"/>
  <c r="B19" i="48"/>
  <c r="C19" i="48"/>
  <c r="D19" i="48"/>
  <c r="E19" i="48"/>
  <c r="F19" i="48"/>
  <c r="G19" i="48"/>
  <c r="B20" i="48"/>
  <c r="C20" i="48"/>
  <c r="D20" i="48"/>
  <c r="E20" i="48"/>
  <c r="F20" i="48"/>
  <c r="G20" i="48"/>
  <c r="B21" i="48"/>
  <c r="C21" i="48"/>
  <c r="D21" i="48"/>
  <c r="E21" i="48"/>
  <c r="F21" i="48"/>
  <c r="G21" i="48"/>
  <c r="B14" i="33"/>
  <c r="B12" i="33"/>
  <c r="B9" i="33"/>
  <c r="B8" i="33"/>
  <c r="B7" i="33"/>
  <c r="B6" i="33"/>
  <c r="G5" i="33"/>
  <c r="G6" i="33" s="1"/>
  <c r="G7" i="33" s="1"/>
  <c r="G8" i="33" s="1"/>
  <c r="G9" i="33" s="1"/>
  <c r="G10" i="33" s="1"/>
  <c r="F5" i="33"/>
  <c r="F6" i="33" s="1"/>
  <c r="F7" i="33" s="1"/>
  <c r="F8" i="33" s="1"/>
  <c r="F9" i="33" s="1"/>
  <c r="F10" i="33" s="1"/>
  <c r="B5" i="33"/>
  <c r="E5" i="33" s="1"/>
  <c r="B4" i="33"/>
  <c r="L32" i="12"/>
  <c r="L31" i="12"/>
  <c r="L30" i="12"/>
  <c r="L29" i="12"/>
  <c r="L27" i="12"/>
  <c r="L26" i="12"/>
  <c r="L25" i="12"/>
  <c r="L24" i="12"/>
  <c r="L23" i="12"/>
  <c r="L22" i="12"/>
  <c r="L21" i="12"/>
  <c r="L20" i="12"/>
  <c r="L19" i="12"/>
  <c r="L18" i="12"/>
  <c r="L17" i="12"/>
  <c r="L16" i="12"/>
  <c r="L15" i="12"/>
  <c r="L14" i="12"/>
  <c r="L13" i="12"/>
  <c r="L12" i="12"/>
  <c r="L11" i="12"/>
  <c r="L10" i="12"/>
  <c r="L9" i="12"/>
  <c r="L8" i="12"/>
  <c r="L7" i="12"/>
  <c r="L6" i="12"/>
  <c r="L5" i="12"/>
  <c r="I16" i="1"/>
  <c r="F16" i="1"/>
  <c r="E16" i="1"/>
  <c r="D16" i="1"/>
  <c r="C16" i="1"/>
  <c r="B16" i="1"/>
  <c r="M15" i="1"/>
  <c r="L15" i="1"/>
  <c r="K15" i="1"/>
  <c r="M14" i="1"/>
  <c r="L14" i="1"/>
  <c r="K14" i="1"/>
  <c r="M13" i="1"/>
  <c r="L13" i="1"/>
  <c r="K13" i="1"/>
  <c r="M12" i="1"/>
  <c r="L12" i="1"/>
  <c r="K12" i="1"/>
  <c r="M10" i="1"/>
  <c r="L10" i="1"/>
  <c r="K10" i="1"/>
  <c r="M9" i="1"/>
  <c r="L9" i="1"/>
  <c r="K9" i="1"/>
  <c r="M8" i="1"/>
  <c r="L8" i="1"/>
  <c r="K8" i="1"/>
  <c r="M7" i="1"/>
  <c r="L7" i="1"/>
  <c r="K7" i="1"/>
  <c r="M6" i="1"/>
  <c r="L6" i="1"/>
  <c r="K6" i="1"/>
  <c r="J6" i="1"/>
  <c r="J16" i="1" s="1"/>
  <c r="I6" i="1"/>
  <c r="H6" i="1"/>
  <c r="H16" i="1" s="1"/>
  <c r="M16" i="1" l="1"/>
  <c r="K16" i="1"/>
  <c r="L16" i="1"/>
  <c r="J10" i="48"/>
  <c r="F12" i="33"/>
  <c r="F11" i="33"/>
  <c r="F14" i="33" s="1"/>
  <c r="G12" i="33"/>
  <c r="G11" i="33"/>
  <c r="G14" i="33" s="1"/>
  <c r="E6" i="33"/>
  <c r="E7" i="33" s="1"/>
  <c r="E8" i="33"/>
  <c r="E9" i="33" s="1"/>
  <c r="E10" i="33" s="1"/>
  <c r="E11" i="33" l="1"/>
  <c r="E14" i="33" s="1"/>
  <c r="E12" i="33"/>
  <c r="A18" i="45" l="1"/>
  <c r="A17" i="45"/>
  <c r="A5" i="45" l="1"/>
  <c r="A6" i="45"/>
  <c r="A11" i="45"/>
  <c r="A12" i="45"/>
  <c r="A13" i="45"/>
  <c r="A14" i="45"/>
  <c r="A15" i="45"/>
</calcChain>
</file>

<file path=xl/sharedStrings.xml><?xml version="1.0" encoding="utf-8"?>
<sst xmlns="http://schemas.openxmlformats.org/spreadsheetml/2006/main" count="691" uniqueCount="348">
  <si>
    <t>Formations d'ingénieurs (1)</t>
  </si>
  <si>
    <t>Autres diplômes universitaires
(dont santé) (2)</t>
  </si>
  <si>
    <t>Autres (3)</t>
  </si>
  <si>
    <t>Universités (1)</t>
  </si>
  <si>
    <t>CPGE (3)</t>
  </si>
  <si>
    <t>Ecoles paramédicales et sociales (4)</t>
  </si>
  <si>
    <t>(3) Les effectifs d'étudiants en diplôme d'études comptables et financières ont été comptés en CPGE avant 1990 et avec les autres établissements et formations ensuite.</t>
  </si>
  <si>
    <t>Autres</t>
  </si>
  <si>
    <t>Ensemble</t>
  </si>
  <si>
    <t>Total</t>
  </si>
  <si>
    <t>Académies</t>
  </si>
  <si>
    <t>Aix-Marseille</t>
  </si>
  <si>
    <t xml:space="preserve">Amiens         </t>
  </si>
  <si>
    <t xml:space="preserve">Besançon       </t>
  </si>
  <si>
    <t xml:space="preserve">Bordeaux       </t>
  </si>
  <si>
    <t>Clermont-Ferrand</t>
  </si>
  <si>
    <t xml:space="preserve">Corse          </t>
  </si>
  <si>
    <t xml:space="preserve">Dijon          </t>
  </si>
  <si>
    <t xml:space="preserve">Grenoble </t>
  </si>
  <si>
    <t xml:space="preserve">Lille          </t>
  </si>
  <si>
    <t xml:space="preserve">Limoges        </t>
  </si>
  <si>
    <t xml:space="preserve">Lyon           </t>
  </si>
  <si>
    <t xml:space="preserve">Montpellier    </t>
  </si>
  <si>
    <t>Nancy-Metz</t>
  </si>
  <si>
    <t xml:space="preserve">Nantes         </t>
  </si>
  <si>
    <t xml:space="preserve">Nice           </t>
  </si>
  <si>
    <t>Orléans-Tours</t>
  </si>
  <si>
    <t xml:space="preserve">Poitiers       </t>
  </si>
  <si>
    <t xml:space="preserve">Reims          </t>
  </si>
  <si>
    <t xml:space="preserve">Rennes         </t>
  </si>
  <si>
    <t xml:space="preserve">Strasbourg     </t>
  </si>
  <si>
    <t xml:space="preserve">Toulouse       </t>
  </si>
  <si>
    <t>Total province</t>
  </si>
  <si>
    <t>Paris</t>
  </si>
  <si>
    <t>Créteil</t>
  </si>
  <si>
    <t xml:space="preserve">Versailles     </t>
  </si>
  <si>
    <t>Total Ile-de-France</t>
  </si>
  <si>
    <t xml:space="preserve"> France métropolitaine</t>
  </si>
  <si>
    <t>Guadeloupe</t>
  </si>
  <si>
    <t>Guyane</t>
  </si>
  <si>
    <t>Martinique</t>
  </si>
  <si>
    <t>Mayotte</t>
  </si>
  <si>
    <t>En milliers</t>
  </si>
  <si>
    <t>Diplômes LMD</t>
  </si>
  <si>
    <t>Professions de santé</t>
  </si>
  <si>
    <t>CPGE  + Préparations intégrées</t>
  </si>
  <si>
    <t>Lycées</t>
  </si>
  <si>
    <t>dont privé</t>
  </si>
  <si>
    <t xml:space="preserve">Autres écoles de spécialités diverses </t>
  </si>
  <si>
    <t>CPGE</t>
  </si>
  <si>
    <t>Ecoles  paramédicales et sociales</t>
  </si>
  <si>
    <t>Public</t>
  </si>
  <si>
    <t>Privé</t>
  </si>
  <si>
    <t>Écoles normales supérieures</t>
  </si>
  <si>
    <t>Écoles de commerce, gestion et comptabilité</t>
  </si>
  <si>
    <t>Écoles juridiques et administratives</t>
  </si>
  <si>
    <t>Écoles de journalisme et écoles littéraires</t>
  </si>
  <si>
    <t>Écoles d'architecture</t>
  </si>
  <si>
    <t>Écoles vétérinaires</t>
  </si>
  <si>
    <t>(3) Ecoles d'art, d'architecture, établissements universitaires privés, écoles de commerce à diplôme non visé, autres établissements ou formations de spécialités diverses.</t>
  </si>
  <si>
    <t>CPGE  + préparations intégrées</t>
  </si>
  <si>
    <t>Autre établissements d'enseignement universitaire (3)</t>
  </si>
  <si>
    <t>Écoles d'ingénieurs</t>
  </si>
  <si>
    <t>Écoles paramédicales hors université (4)</t>
  </si>
  <si>
    <t>Écoles préparant aux fonctions sociales (4)</t>
  </si>
  <si>
    <t>Écoles supérieures artistiques et culturelles</t>
  </si>
  <si>
    <t>2013-14</t>
  </si>
  <si>
    <t>2014-15</t>
  </si>
  <si>
    <t>La Réunion</t>
  </si>
  <si>
    <t>2015-2016</t>
  </si>
  <si>
    <t>2014-2015</t>
  </si>
  <si>
    <t>2013-2014</t>
  </si>
  <si>
    <t>2012-2013</t>
  </si>
  <si>
    <t>2010-2011</t>
  </si>
  <si>
    <t>2005-2006</t>
  </si>
  <si>
    <t>2000-2001</t>
  </si>
  <si>
    <t>Année</t>
  </si>
  <si>
    <t>Universités</t>
  </si>
  <si>
    <t>(2) y compris formations universitaires et formations d'ingénieurs en partenariat.</t>
  </si>
  <si>
    <t>Formations d'ingénieurs (2)</t>
  </si>
  <si>
    <t>Université (1)</t>
  </si>
  <si>
    <t>2015-16</t>
  </si>
  <si>
    <t xml:space="preserve">   dont étudiants étrangers</t>
  </si>
  <si>
    <t xml:space="preserve">   dont privé</t>
  </si>
  <si>
    <t xml:space="preserve">  dont ingénieurs (yc en partenariat)</t>
  </si>
  <si>
    <t>Autre Formations</t>
  </si>
  <si>
    <t>Ecoles normales supérieures</t>
  </si>
  <si>
    <t>CPGE et prépas intégrées</t>
  </si>
  <si>
    <t>Sciences</t>
  </si>
  <si>
    <t>Santé</t>
  </si>
  <si>
    <t xml:space="preserve">STAPS </t>
  </si>
  <si>
    <t>Arts, lettres, langues, SHS</t>
  </si>
  <si>
    <t>Économie, AES</t>
  </si>
  <si>
    <t>Droit, sciences politiques</t>
  </si>
  <si>
    <t>Retraités et inactifs</t>
  </si>
  <si>
    <t>Ouvriers</t>
  </si>
  <si>
    <t>Employés</t>
  </si>
  <si>
    <t>Professions Intermédiaires</t>
  </si>
  <si>
    <t>Cadres et professions intellectuelles supérieures</t>
  </si>
  <si>
    <t>Agriculteurs, artisans, commerçants et chefs d'entreprise</t>
  </si>
  <si>
    <t>Ensemble univ.</t>
  </si>
  <si>
    <t>Non réponse</t>
  </si>
  <si>
    <t>Universités - Sciences, Staps</t>
  </si>
  <si>
    <t>Universités - Droit, économie, AES</t>
  </si>
  <si>
    <t>Universités - Médecine, odontologie, pharmacie</t>
  </si>
  <si>
    <t>Boursiers sur critères sociaux</t>
  </si>
  <si>
    <t>dont aide au mérite</t>
  </si>
  <si>
    <t>En % d'étudiants concernés</t>
  </si>
  <si>
    <t>Ecoles de commerce, gestion et comptabilité (hors STS)</t>
  </si>
  <si>
    <t>Écoles de commerce, gestion et comptabilité à diplôme visé (hors STS)</t>
  </si>
  <si>
    <t>Amérique</t>
  </si>
  <si>
    <t xml:space="preserve"> </t>
  </si>
  <si>
    <t>Écoles de commerce, gestion et vente</t>
  </si>
  <si>
    <t>2016-2017</t>
  </si>
  <si>
    <t>2016-17</t>
  </si>
  <si>
    <t/>
  </si>
  <si>
    <t>2017-2018</t>
  </si>
  <si>
    <t>(2) Diplômes hors LMD, ingénieurs et DUT préparés dans les universités, les grands établissements et les établissements privés d'enseignement universitaire.</t>
  </si>
  <si>
    <t>Universités - Langues, lettres, sciences humaines</t>
  </si>
  <si>
    <t>Evolution annuelle brute
 (en %)</t>
  </si>
  <si>
    <t xml:space="preserve">Total </t>
  </si>
  <si>
    <t>2018-2019</t>
  </si>
  <si>
    <t>Code</t>
  </si>
  <si>
    <t>Académie</t>
  </si>
  <si>
    <t>Part du privé</t>
  </si>
  <si>
    <t>Aix-marseille</t>
  </si>
  <si>
    <t>Amiens</t>
  </si>
  <si>
    <t>Besancon</t>
  </si>
  <si>
    <t>Bordeaux</t>
  </si>
  <si>
    <t>Corse</t>
  </si>
  <si>
    <t>Dijon</t>
  </si>
  <si>
    <t>Grenoble</t>
  </si>
  <si>
    <t>Lille</t>
  </si>
  <si>
    <t>Limoges</t>
  </si>
  <si>
    <t>Lyon</t>
  </si>
  <si>
    <t>Montpellier</t>
  </si>
  <si>
    <t>Nantes</t>
  </si>
  <si>
    <t>Nice</t>
  </si>
  <si>
    <t>Poitiers</t>
  </si>
  <si>
    <t>Reims</t>
  </si>
  <si>
    <t>Rennes</t>
  </si>
  <si>
    <t>Strasbourg</t>
  </si>
  <si>
    <t>Toulouse</t>
  </si>
  <si>
    <t>Versailles</t>
  </si>
  <si>
    <t>2017-18</t>
  </si>
  <si>
    <t>2018-19</t>
  </si>
  <si>
    <t>En % d'étudiants concernés (méthode révisée)</t>
  </si>
  <si>
    <t>ancienne méthode</t>
  </si>
  <si>
    <t>méthode révisée</t>
  </si>
  <si>
    <t xml:space="preserve">STS </t>
  </si>
  <si>
    <t>STS</t>
  </si>
  <si>
    <t>Cartes</t>
  </si>
  <si>
    <t>AFRIQUE</t>
  </si>
  <si>
    <t>Maroc</t>
  </si>
  <si>
    <t>Algérie</t>
  </si>
  <si>
    <t>Tunisie</t>
  </si>
  <si>
    <t>Sénégal</t>
  </si>
  <si>
    <t>Autres Afrique</t>
  </si>
  <si>
    <t>ASIE, OCEANIE</t>
  </si>
  <si>
    <t>Chine</t>
  </si>
  <si>
    <t>Autres Asie, Océanie</t>
  </si>
  <si>
    <t>EUROPE</t>
  </si>
  <si>
    <t>Allemagne</t>
  </si>
  <si>
    <t>Italie</t>
  </si>
  <si>
    <t>Autres Europe</t>
  </si>
  <si>
    <t>AMERIQUE</t>
  </si>
  <si>
    <t>Données</t>
  </si>
  <si>
    <t>Etudiants en mobilité internationale</t>
  </si>
  <si>
    <t>Etudiants étrangers en mobilité internationale</t>
  </si>
  <si>
    <t>Français (1)</t>
  </si>
  <si>
    <t xml:space="preserve">Français (1) </t>
  </si>
  <si>
    <t>2016 (5)</t>
  </si>
  <si>
    <t>(5) Des opérations d’identification d’établissements manquants et d’extension de la couverture du système d’informations individualisé (auparavant fondé sur des données agrégées pour certains établissements) ont été mises en œuvre depuis la collecte 2016-2017 (voir Encadré Sources, champs et définitions).</t>
  </si>
  <si>
    <t>Répartition (%)</t>
  </si>
  <si>
    <t>Sommaire</t>
  </si>
  <si>
    <t>Normandie</t>
  </si>
  <si>
    <t>2019-2020</t>
  </si>
  <si>
    <t>02</t>
  </si>
  <si>
    <t>03</t>
  </si>
  <si>
    <t>04</t>
  </si>
  <si>
    <t>06</t>
  </si>
  <si>
    <t>07</t>
  </si>
  <si>
    <t>08</t>
  </si>
  <si>
    <t>09</t>
  </si>
  <si>
    <t>01</t>
  </si>
  <si>
    <t>70</t>
  </si>
  <si>
    <t xml:space="preserve">hors inscriptions simultanées en licence et en CPGE </t>
  </si>
  <si>
    <t>Cursus licence</t>
  </si>
  <si>
    <t>Cursus master</t>
  </si>
  <si>
    <t>Evolution 15/16</t>
  </si>
  <si>
    <t>Evolution 16/17</t>
  </si>
  <si>
    <t>Evolution 17/18</t>
  </si>
  <si>
    <t>Evolution 18/19</t>
  </si>
  <si>
    <t>Evolution en 5 ans</t>
  </si>
  <si>
    <t>Europe UE</t>
  </si>
  <si>
    <t>Asie, Océanie</t>
  </si>
  <si>
    <t>Afrique (Maghreb)</t>
  </si>
  <si>
    <t>Afrique subsahérienne</t>
  </si>
  <si>
    <t>Total (y compris non renseigné)</t>
  </si>
  <si>
    <t>(1) Y compris Lorraine</t>
  </si>
  <si>
    <t>hors inscriptions simultanées Licence-CPGE</t>
  </si>
  <si>
    <t>En %</t>
  </si>
  <si>
    <t>Europe UE (1)</t>
  </si>
  <si>
    <t>1. UE (hors Royaume Uni) + Islande, Norvège, Liechtenstein et Andorre et Suisse. Il s'agit des pays européens qui ne sont pas concernés par la différenciation des droits d'inscription.</t>
  </si>
  <si>
    <t>1. UE (hors Royaume Uni) + Islande, Norvège, Liechtenstein et Andorre et Suisse, pays européens qui ne sont pas concernés par la différenciation des frais de scolarité.</t>
  </si>
  <si>
    <t xml:space="preserve">(2) Y compris Mayotte, devenu un DOM à partir de 2011. </t>
  </si>
  <si>
    <r>
      <rPr>
        <b/>
        <sz val="8"/>
        <rFont val="Arial"/>
        <family val="2"/>
      </rPr>
      <t>2.</t>
    </r>
    <r>
      <rPr>
        <sz val="8"/>
        <rFont val="Arial"/>
        <family val="2"/>
      </rPr>
      <t xml:space="preserve"> Périmètre 2019, soit sans prise en compte du périmètre des grands ensembles universitaires créés ou modifiés par décrets en 2020, en application de l’ordonnance sur les établissements expérimentaux.</t>
    </r>
  </si>
  <si>
    <r>
      <rPr>
        <b/>
        <sz val="8"/>
        <rFont val="Arial"/>
        <family val="2"/>
      </rPr>
      <t>3.</t>
    </r>
    <r>
      <rPr>
        <sz val="8"/>
        <rFont val="Arial"/>
        <family val="2"/>
      </rPr>
      <t xml:space="preserve"> Regroupent les établissements privés de type universitaire et les « grands établissements », qui délivrent un enseignement de type universitaire : établissements privés d’enseignement universitaire, Paris-Dauphine, EHESS, IEP Paris, École nationale supérieure des sciences de l’information et des bibliothèques, Inalco, Observatoire de Paris, École pratique des hautes études, Museum national d'histoire naturelle, École nationale des chartes.</t>
    </r>
  </si>
  <si>
    <t xml:space="preserve">(6) Les chiffres prennent en compte le nouveau périmètre des universités, comprenant les établissements publics expérimentaux créés ou modifiés à partir de 2020. Les taux d’évolution sont calculés sur le périmètre des universités au sens strict. </t>
  </si>
  <si>
    <t>Total DROM</t>
  </si>
  <si>
    <t xml:space="preserve"> France métro. + DROM</t>
  </si>
  <si>
    <t>2020-2021</t>
  </si>
  <si>
    <t>STS apprentis</t>
  </si>
  <si>
    <t>STS et assimilés (scolaires) (2)</t>
  </si>
  <si>
    <t>STS et assimilés (scolaires)</t>
  </si>
  <si>
    <t>Part STS (scolaires &amp; apprentis)</t>
  </si>
  <si>
    <t>Evolution 19/20</t>
  </si>
  <si>
    <t>Part des étudiants internationaux (hors STS en apprentissage)</t>
  </si>
  <si>
    <t>STS et assimilés (apprentis)</t>
  </si>
  <si>
    <t>Source : SIES-MESR / Système d'information SISE, enquêtes menées par le SIES sur les écoles d'ingénieurs, les établissements d'enseignement supérieur non rattachés aux universités, données sur les STS et CPGE collectées par la DEPP, enquête SIFA, enquêtes spécifiques aux ministères chargés de l’Agriculture, de la Santé, des Affaires sociales et de la Culture.</t>
  </si>
  <si>
    <t>2010-11</t>
  </si>
  <si>
    <t>2011-12</t>
  </si>
  <si>
    <t>2012-13</t>
  </si>
  <si>
    <t>2019-20</t>
  </si>
  <si>
    <t>2020-21</t>
  </si>
  <si>
    <t>2021-22</t>
  </si>
  <si>
    <t>Public MESR (1)</t>
  </si>
  <si>
    <t>Public hors MESR (1)</t>
  </si>
  <si>
    <r>
      <rPr>
        <b/>
        <sz val="8"/>
        <rFont val="Arial"/>
        <family val="2"/>
      </rPr>
      <t>1.</t>
    </r>
    <r>
      <rPr>
        <sz val="8"/>
        <rFont val="Arial"/>
        <family val="2"/>
      </rPr>
      <t xml:space="preserve"> MESR : Ministère de l'enseignement supérieur et de la recherche.</t>
    </r>
  </si>
  <si>
    <t>2021-2022</t>
  </si>
  <si>
    <t>Ensemble des étudiants</t>
  </si>
  <si>
    <t>Formations paramédicales et sociales (1)</t>
  </si>
  <si>
    <r>
      <rPr>
        <b/>
        <sz val="8"/>
        <rFont val="Arial"/>
        <family val="2"/>
      </rPr>
      <t>2.</t>
    </r>
    <r>
      <rPr>
        <sz val="8"/>
        <rFont val="Arial"/>
        <family val="2"/>
      </rPr>
      <t xml:space="preserve"> Y compris les formations d’ingénieurs dépendantes des universités, des INP, des universités de technologies et les formations d’ingénieurs en partenariat.</t>
    </r>
  </si>
  <si>
    <t>STS (apprentis)</t>
  </si>
  <si>
    <t>-</t>
  </si>
  <si>
    <t xml:space="preserve">  dont préparation DUT ou BUT</t>
  </si>
  <si>
    <t>Sources : MESR-SIES, Systèmes d’information SISE et Scolarité, enquêtes menées par le SIES sur les établissements d’enseignement supérieur, enquêtes spécifiques aux ministères en charge de l’agriculture, de la santé, des affaires sociales et de la culture</t>
  </si>
  <si>
    <t>Ensemble (2)</t>
  </si>
  <si>
    <t>(2) Hors étudiants en STS en apprentissage, pour lesquels la mobilité n'est pas calculée</t>
  </si>
  <si>
    <t>STS (scolaires) et CPGE</t>
  </si>
  <si>
    <t>Total enseignement supérieur (3)</t>
  </si>
  <si>
    <t>(3) hors étudiant en STS en apprentissage, pour lesquels la mobilité n'est pas calculée.</t>
  </si>
  <si>
    <t>Sources : MESR-SIES, Systèmes d’information SISE et Scolarité, enquêtes menées par le SIES sur les établissements d’enseignement supérieur, enquêtes spécifiques aux ministères en charge de l’agriculture, de la santé, des affaires sociales et de la culture.</t>
  </si>
  <si>
    <t>Afrique subsaharienne</t>
  </si>
  <si>
    <t>Evolution 20/21</t>
  </si>
  <si>
    <t>Sources : MESR-SIES, Systèmes d’information SISE et Scolarité, enquêtes menées par le SIES sur les établissements d’enseignement supérieur, enquête SIFA, enquêtes spécifiques aux ministères en charge de l’agriculture, de la santé, des affaires sociales et de la culture</t>
  </si>
  <si>
    <t>* Les proportions sont calculées en excluant les étudiants pour lesquels l'origine n'est pas renseignée, soit 16 % d'entre eux</t>
  </si>
  <si>
    <t>Formations d'ingénieurs (hors universités yc en partenariat)</t>
  </si>
  <si>
    <t>NB : Le territoire en haut à gauche correspond au zoom sur l'académie de Paris</t>
  </si>
  <si>
    <r>
      <t xml:space="preserve">Graphique 1 - </t>
    </r>
    <r>
      <rPr>
        <b/>
        <sz val="11"/>
        <rFont val="Calibri"/>
        <family val="2"/>
      </rPr>
      <t>É</t>
    </r>
    <r>
      <rPr>
        <b/>
        <sz val="11"/>
        <rFont val="Arial"/>
        <family val="2"/>
      </rPr>
      <t>volution des effectifs de l'enseignement supérieur et de l'université</t>
    </r>
    <r>
      <rPr>
        <sz val="11"/>
        <rFont val="Arial"/>
        <family val="2"/>
      </rPr>
      <t xml:space="preserve"> (en milliers)</t>
    </r>
  </si>
  <si>
    <t>Total enseignement supérieur</t>
  </si>
  <si>
    <r>
      <t>Graphique 2 - Évolution des effectifs de l'enseignement supérieur, détail des disciplines</t>
    </r>
    <r>
      <rPr>
        <sz val="11"/>
        <rFont val="Arial"/>
        <family val="2"/>
      </rPr>
      <t xml:space="preserve"> (en milliers)</t>
    </r>
  </si>
  <si>
    <t>Formations d'ingénieurs (yc en partenariat)</t>
  </si>
  <si>
    <t>Autre Formations (hors université)</t>
  </si>
  <si>
    <r>
      <t>Graphique 2 - Evolution des effectifs de l'enseignement supérieur, détail des disciplines</t>
    </r>
    <r>
      <rPr>
        <sz val="11"/>
        <rFont val="Arial"/>
        <family val="2"/>
      </rPr>
      <t xml:space="preserve"> (en milliers)</t>
    </r>
  </si>
  <si>
    <t>Tableau 2 - Évolution du nombre d'étudiants bénéficiant d'une aide financière</t>
  </si>
  <si>
    <r>
      <t xml:space="preserve">Annexe 1 - </t>
    </r>
    <r>
      <rPr>
        <b/>
        <sz val="11"/>
        <rFont val="Calibri"/>
        <family val="2"/>
      </rPr>
      <t>É</t>
    </r>
    <r>
      <rPr>
        <b/>
        <sz val="11"/>
        <rFont val="Arial"/>
        <family val="2"/>
      </rPr>
      <t>volution des effectifs de l'enseignement supérieur</t>
    </r>
    <r>
      <rPr>
        <sz val="11"/>
        <rFont val="Arial"/>
        <family val="2"/>
      </rPr>
      <t xml:space="preserve"> (en milliers)</t>
    </r>
  </si>
  <si>
    <t>Cursus Doctorat</t>
  </si>
  <si>
    <t>Effectifs</t>
  </si>
  <si>
    <t>Droit sciences politiques</t>
  </si>
  <si>
    <t>Sciences économiques, gestion</t>
  </si>
  <si>
    <t>AES</t>
  </si>
  <si>
    <t>Pluridroit, sciences économiques, AES</t>
  </si>
  <si>
    <t>Total économie, AES</t>
  </si>
  <si>
    <t>Arts, lettres, sciences du langage</t>
  </si>
  <si>
    <t>Langues</t>
  </si>
  <si>
    <t>Sciences humaines et sociales</t>
  </si>
  <si>
    <t>Plurilettres, langues, sciences humaines</t>
  </si>
  <si>
    <t>Total arts, lettres, langues, SHS</t>
  </si>
  <si>
    <t>Sciences fondamentales et application</t>
  </si>
  <si>
    <t>Sciences de la nature et de la vie</t>
  </si>
  <si>
    <t>Plurisciences</t>
  </si>
  <si>
    <t>Total sciences</t>
  </si>
  <si>
    <t>Staps</t>
  </si>
  <si>
    <t>Interdisciplinaire (2)</t>
  </si>
  <si>
    <t>Total disciplines générales</t>
  </si>
  <si>
    <t>Médecine-odontologie</t>
  </si>
  <si>
    <t>Pharmacie</t>
  </si>
  <si>
    <t>Plurisanté</t>
  </si>
  <si>
    <t>Total disciplines de santé</t>
  </si>
  <si>
    <r>
      <rPr>
        <b/>
        <sz val="8"/>
        <rFont val="Arial"/>
        <family val="2"/>
      </rPr>
      <t>2.</t>
    </r>
    <r>
      <rPr>
        <sz val="8"/>
        <rFont val="Arial"/>
        <family val="2"/>
      </rPr>
      <t xml:space="preserve"> Les diplômes interdisciplinaires sont les DU Pareo (passeport vers la réussite et l'orientation).</t>
    </r>
  </si>
  <si>
    <r>
      <t xml:space="preserve">1. </t>
    </r>
    <r>
      <rPr>
        <sz val="8"/>
        <rFont val="Arial"/>
        <family val="2"/>
      </rPr>
      <t xml:space="preserve">Périmètre 2019 soit avant la création ou modification à partir de 2020 de grands ensembles universitaires (EPE). </t>
    </r>
  </si>
  <si>
    <t>Retour au sommaire</t>
  </si>
  <si>
    <t>Sources : MESR-SIES / Systèmes d'information AGLAE (extractions annuelles au 15 mars), Système d'information SISE et données sur les STS et CPGE collectées par le MEN-MESR-DEPP.</t>
  </si>
  <si>
    <t>Source : MESR-SIES / Système d'information SISE, enquêtes menées par le SIES sur les écoles d'ingénieurs, les établissements d'enseignement supérieur non rattachés aux universités, données sur les STS et CPGE collectées par la DEPP, enquête SIFA, enquêtes spécifiques aux ministères chargés de l’Agriculture, de la Santé, des Affaires sociales et de la Culture.</t>
  </si>
  <si>
    <t>Source : MESR-SIES / Système d’information SISE.</t>
  </si>
  <si>
    <r>
      <t>Tableau 1 - Nombre d'étudiants inscrits dans l'enseignement supérieur en fonction de la filière et du type d'établissement</t>
    </r>
    <r>
      <rPr>
        <b/>
        <sz val="11"/>
        <color indexed="10"/>
        <rFont val="Arial"/>
        <family val="2"/>
      </rPr>
      <t xml:space="preserve"> </t>
    </r>
    <r>
      <rPr>
        <b/>
        <sz val="11"/>
        <rFont val="Arial"/>
        <family val="2"/>
      </rPr>
      <t xml:space="preserve">en 2022-2023  </t>
    </r>
    <r>
      <rPr>
        <sz val="11"/>
        <rFont val="Arial"/>
        <family val="2"/>
      </rPr>
      <t>(en milliers)</t>
    </r>
  </si>
  <si>
    <t xml:space="preserve">Evolution 2022/2021 (%)
</t>
  </si>
  <si>
    <r>
      <rPr>
        <b/>
        <sz val="8"/>
        <rFont val="Arial"/>
        <family val="2"/>
      </rPr>
      <t xml:space="preserve">4. </t>
    </r>
    <r>
      <rPr>
        <sz val="8"/>
        <rFont val="Arial"/>
        <family val="2"/>
      </rPr>
      <t xml:space="preserve">Données provisoires en 2022-2023 pour les formations paramédicales et sociales (reconduction des données 2021-2022). </t>
    </r>
  </si>
  <si>
    <t xml:space="preserve">Évolution 2021/2022 (%) </t>
  </si>
  <si>
    <t>Tableau 3 - Répartition par académie des principales filières de l'enseignement supérieur en 2022-2023, évolution par rapport à 2021-2022</t>
  </si>
  <si>
    <t>2022-23</t>
  </si>
  <si>
    <t>2022-2023</t>
  </si>
  <si>
    <r>
      <rPr>
        <b/>
        <sz val="8"/>
        <rFont val="Arial"/>
        <family val="2"/>
      </rPr>
      <t>1.</t>
    </r>
    <r>
      <rPr>
        <sz val="8"/>
        <rFont val="Arial"/>
        <family val="2"/>
      </rPr>
      <t xml:space="preserve"> Les dernières données disponibles portent sur 2021-2022.</t>
    </r>
  </si>
  <si>
    <t>(1) y compris les étudiants étrangers ayant obtenu un baccalauréat ou une équivalence sur le territoire français. En 2022-23, ils sont au nombre de 92 100 (soit 3,8 % des étudiants Français ou résidents).</t>
  </si>
  <si>
    <t>Universités (2) (5)</t>
  </si>
  <si>
    <t>Evolution 21/22</t>
  </si>
  <si>
    <t>Part en 2022</t>
  </si>
  <si>
    <r>
      <t>Annexe 3 -</t>
    </r>
    <r>
      <rPr>
        <b/>
        <sz val="12"/>
        <color theme="1"/>
        <rFont val="Calibri"/>
        <family val="2"/>
      </rPr>
      <t>É</t>
    </r>
    <r>
      <rPr>
        <b/>
        <sz val="12"/>
        <color theme="1"/>
        <rFont val="Calibri"/>
        <family val="2"/>
        <scheme val="minor"/>
      </rPr>
      <t>volution des étudiants étrangers en mobilité internationale par continent de provenance de 2014 à 2022</t>
    </r>
  </si>
  <si>
    <t>Annexe 4 - Répartition des étudiants étrangers dans l'enseignement supérieur par nationalité en 2022-2023</t>
  </si>
  <si>
    <t>(1) : hors étudiants étrangers à la nationalité non renseignée (0,8 % des étudiants étrangers en mobilité internationale en 2022-2023).</t>
  </si>
  <si>
    <t>Annexe 2 - Répartition des effectifs des universités françaises selon le cursus et la discipline en 2022 - 2023, périmètre historique (1)</t>
  </si>
  <si>
    <r>
      <rPr>
        <b/>
        <sz val="8"/>
        <rFont val="Arial"/>
        <family val="2"/>
      </rPr>
      <t>3.</t>
    </r>
    <r>
      <rPr>
        <sz val="8"/>
        <rFont val="Arial"/>
        <family val="2"/>
      </rPr>
      <t xml:space="preserve"> Ce total inclut les inscriptions dans des diplômes paramédicaux hors diplôme d'État d'infirmiers de grade licence ; 24 133 inscriptions sont concernées, en hausse de 10,7 % sur un an (l'universitarisation de ces formations se poursuit et prend de l'ampleur avec l'apparition de certaines d'entre elles sur la plateforme Parcoursup) ; en incluant le DE Infirmier grade licence, 105 241 inscriptions sont couvertes par ces diplômes (en hausse de 1,9 % sur un an).</t>
    </r>
  </si>
  <si>
    <r>
      <rPr>
        <b/>
        <sz val="8"/>
        <rFont val="Arial"/>
        <family val="2"/>
      </rPr>
      <t>4.</t>
    </r>
    <r>
      <rPr>
        <sz val="8"/>
        <rFont val="Arial"/>
        <family val="2"/>
      </rPr>
      <t xml:space="preserve"> Les effectifs de 2022-2023 ne tiennent pas en compte de l'école d'économie de Toulouse qui sort du périmètre universitaire au sens strict cette année. Ils sont en revanche pris en compte pour les évolutions.</t>
    </r>
  </si>
  <si>
    <t>Variation annuelle hors CPGE (en %) (4)</t>
  </si>
  <si>
    <t>1597691 (3)</t>
  </si>
  <si>
    <r>
      <t>(7)</t>
    </r>
    <r>
      <rPr>
        <b/>
        <sz val="8"/>
        <rFont val="Arial"/>
        <family val="2"/>
      </rPr>
      <t xml:space="preserve"> </t>
    </r>
    <r>
      <rPr>
        <sz val="8"/>
        <rFont val="Arial"/>
        <family val="2"/>
      </rPr>
      <t>Les effectifs de 2022-2023 ne tiennent pas en compte de l'école d'économie de Toulouse qui n'est plus une école interne à l'université au sens strict cette année. Ils sont en revanche pris en compte pour les évolutions ainsi que dans le contour regroupé (composante de l'EPE Université Toulouse Capitole).</t>
    </r>
  </si>
  <si>
    <t>2022 Périmètre regroupements (6)</t>
  </si>
  <si>
    <t>(1) Ensemble des formations d'ingénieurs (universitaires ou non), y compris les formations d'ingénieurs en partenariat, soit 13 850 étudiants en 2022.</t>
  </si>
  <si>
    <t>Evolution des effectifs d'étudiants entre 2022 et 2023</t>
  </si>
  <si>
    <r>
      <rPr>
        <b/>
        <sz val="8"/>
        <rFont val="Arial"/>
        <family val="2"/>
      </rPr>
      <t>Note</t>
    </r>
    <r>
      <rPr>
        <sz val="8"/>
        <rFont val="Arial"/>
        <family val="2"/>
      </rPr>
      <t xml:space="preserve"> </t>
    </r>
    <r>
      <rPr>
        <b/>
        <sz val="8"/>
        <rFont val="Arial"/>
        <family val="2"/>
      </rPr>
      <t>:</t>
    </r>
    <r>
      <rPr>
        <sz val="8"/>
        <rFont val="Arial"/>
        <family val="2"/>
      </rPr>
      <t xml:space="preserve"> à partir de  2016, la forte augmentation des inscriptions dans l'enseignement privé est en partie due à une amélioration du dispositif de collecte. Les courbes Public et Public MESR sont quasiment confondues.</t>
    </r>
  </si>
  <si>
    <t xml:space="preserve">(4) Données provisoires en 2022-2023 pour les formations paramédicales et sociales (reconduction des données 2021-2022 pour les enquêtes 'santé' et 'social'). </t>
  </si>
  <si>
    <r>
      <rPr>
        <b/>
        <sz val="8"/>
        <rFont val="Arial"/>
        <family val="2"/>
      </rPr>
      <t xml:space="preserve">1. </t>
    </r>
    <r>
      <rPr>
        <sz val="8"/>
        <rFont val="Arial"/>
        <family val="2"/>
      </rPr>
      <t>Y compris les formations d’ingénieurs en partenariat, soit 13 850 étudiants en 2022.</t>
    </r>
  </si>
  <si>
    <t>**L'origine des étudiants n'est pas renseignée pour moins de 15 % des étudiants dans toutes les filières sauf pour les STS en apprentissage (56 %), les écoles de commerce, gestion et comptabilité  (37 %) et les écoles artistiques ou de journalisme (44 %), non représentées.</t>
  </si>
  <si>
    <r>
      <t>*** Y compris les formations d’ingénieurs en partenariat.</t>
    </r>
    <r>
      <rPr>
        <b/>
        <sz val="8"/>
        <rFont val="Arial"/>
        <family val="2"/>
      </rPr>
      <t/>
    </r>
  </si>
  <si>
    <r>
      <t xml:space="preserve">**** Données 2021-2022 pour les formations paramédicales et sociales. </t>
    </r>
    <r>
      <rPr>
        <b/>
        <sz val="8"/>
        <rFont val="Arial"/>
        <family val="2"/>
      </rPr>
      <t/>
    </r>
  </si>
  <si>
    <t>Form. d’ingénieurs ***</t>
  </si>
  <si>
    <t>Form. d'ingénieurs hors université***</t>
  </si>
  <si>
    <t>Ecoles paramédicales et sociales****</t>
  </si>
  <si>
    <t>Sources : MESR-SIES</t>
  </si>
  <si>
    <t xml:space="preserve">(1) Données provisoires en 2022-2023 pour les formations paramédicales et sociales (reconduction des données 2021-2022 pour les enquêtes 'santé' et 'social'). </t>
  </si>
  <si>
    <t>Ecoles paramédicales et sociales (1)</t>
  </si>
  <si>
    <r>
      <rPr>
        <b/>
        <sz val="8"/>
        <rFont val="Arial"/>
        <family val="2"/>
      </rPr>
      <t>5.</t>
    </r>
    <r>
      <rPr>
        <sz val="8"/>
        <rFont val="Arial"/>
        <family val="2"/>
      </rPr>
      <t xml:space="preserve"> Les effectifs de 2022-2023 ne tiennent pas compte de l'école d'économie de Toulouse qui n'est plus une école interne à l'université au sens strict cette année. Ils sont en revanche pris en compte pour les évolutions ainsi que dans le contour regroupé (composante de l'EPE Université Toulouse Capitole).</t>
    </r>
  </si>
  <si>
    <t>Champ : France.</t>
  </si>
  <si>
    <t>Champ : France</t>
  </si>
  <si>
    <t>►Champ : France.</t>
  </si>
  <si>
    <t> Champ : France.</t>
  </si>
  <si>
    <t>IUT</t>
  </si>
  <si>
    <t>Ensemble des universités (hors IUT)</t>
  </si>
  <si>
    <t>(1) hors IUT et formations d'ingénieur.</t>
  </si>
  <si>
    <t>Formations d'ingénieur (2)</t>
  </si>
  <si>
    <t>Graphique 3 - Évolution des effectifs d'inscrits dans l'enseignement supérieur, selon le secteur et la tutelle depuis 2010</t>
  </si>
  <si>
    <t xml:space="preserve">Graphique 4 - Évolution des effectifs d'inscrits dans l'enseignement supérieur, selon le secteur et la tutelle depuis 2010, base 100 en 2010 </t>
  </si>
  <si>
    <t xml:space="preserve">Graphique 4 : Évolution des effectifs d'inscrits dans l'enseignement supérieur, selon le secteur et la tutelle depuis 2010, base 100 en 2010 </t>
  </si>
  <si>
    <r>
      <rPr>
        <b/>
        <sz val="8"/>
        <rFont val="Arial"/>
        <family val="2"/>
      </rPr>
      <t>Note</t>
    </r>
    <r>
      <rPr>
        <sz val="8"/>
        <rFont val="Arial"/>
        <family val="2"/>
      </rPr>
      <t xml:space="preserve"> </t>
    </r>
    <r>
      <rPr>
        <b/>
        <sz val="8"/>
        <rFont val="Arial"/>
        <family val="2"/>
      </rPr>
      <t>:</t>
    </r>
    <r>
      <rPr>
        <sz val="8"/>
        <rFont val="Arial"/>
        <family val="2"/>
      </rPr>
      <t xml:space="preserve"> à partir de  2016, la forte augmentation des inscriptions dans l'enseignement privé est en partie due à une amélioration du dispositif de collecte. </t>
    </r>
  </si>
  <si>
    <r>
      <t xml:space="preserve">Graphique 8 - </t>
    </r>
    <r>
      <rPr>
        <b/>
        <sz val="12"/>
        <color rgb="FF000000"/>
        <rFont val="Calibri"/>
        <family val="2"/>
      </rPr>
      <t>É</t>
    </r>
    <r>
      <rPr>
        <b/>
        <sz val="12"/>
        <color rgb="FF000000"/>
        <rFont val="Arial"/>
        <family val="2"/>
      </rPr>
      <t>volution de la proportion d'étudiants étrangers en mobilité internationale  dans les principales formations de l'enseignement supérieur</t>
    </r>
  </si>
  <si>
    <t>Graphique 8- Evolution de la proportion d'étudiants étrangers en mobilité internationale  dans les principales formations de l'enseignement supérieur</t>
  </si>
  <si>
    <t>Graphique 7 - Évolution des effectifs étudiants français et étrangers en mobilité internationale depuis 2012 (base 100)</t>
  </si>
  <si>
    <t>Graphique 6 - Origine sociale* des étudiants français en 2022-2023 (en %)</t>
  </si>
  <si>
    <r>
      <t xml:space="preserve">Graphique 5 - Part des femmes dans les différentes formations d'enseignement supérieur </t>
    </r>
    <r>
      <rPr>
        <sz val="10"/>
        <rFont val="Arial"/>
        <family val="2"/>
      </rPr>
      <t>(en %)</t>
    </r>
  </si>
  <si>
    <r>
      <t xml:space="preserve">Graphique 5 - Part des femmes dans les différentes formations d'enseignement supérieur </t>
    </r>
    <r>
      <rPr>
        <sz val="12"/>
        <color rgb="FF000000"/>
        <rFont val="Arial"/>
        <family val="2"/>
      </rPr>
      <t>(en %)</t>
    </r>
  </si>
  <si>
    <t>Graphique 3 : Évolution des effectifs d'inscrits dans l'enseignement supérieur, selon le secteur et la tutelle depuis 2010</t>
  </si>
  <si>
    <t>Universités hors IUT</t>
  </si>
  <si>
    <r>
      <rPr>
        <b/>
        <sz val="8"/>
        <rFont val="Arial"/>
        <family val="2"/>
      </rPr>
      <t>1</t>
    </r>
    <r>
      <rPr>
        <sz val="8"/>
        <rFont val="Arial"/>
        <family val="2"/>
      </rPr>
      <t>. Bourses sur critères sociaux du MESR et bourses sur critères universitaires (supprimées en 2008).</t>
    </r>
  </si>
  <si>
    <r>
      <rPr>
        <b/>
        <sz val="8"/>
        <rFont val="Arial"/>
        <family val="2"/>
      </rPr>
      <t>2</t>
    </r>
    <r>
      <rPr>
        <sz val="8"/>
        <rFont val="Arial"/>
        <family val="2"/>
      </rPr>
      <t>. Avant révision, cela comprend les universités, universités de technologie, écoles normales supérieures, instituts nationaux polytechniques, instituts d'études politiques, établissements privés d'enseignement universitaire. Après révision, uniquement les universités.</t>
    </r>
  </si>
  <si>
    <t>En % des boursiers par type de de formation (1)</t>
  </si>
  <si>
    <t>Universités et assimilés (2)</t>
  </si>
  <si>
    <t>Graphique 2 - Évolution des effectifs de l'enseignement supérieur, détail des disciplines (en milliers)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</si>
</sst>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4">
    <numFmt numFmtId="44" formatCode="_-* #,##0.00\ &quot;€&quot;_-;\-* #,##0.00\ &quot;€&quot;_-;_-* &quot;-&quot;??\ &quot;€&quot;_-;_-@_-"/>
    <numFmt numFmtId="164" formatCode="_-* #,##0.00\ _€_-;\-* #,##0.00\ _€_-;_-* &quot;-&quot;??\ _€_-;_-@_-"/>
    <numFmt numFmtId="165" formatCode="0.0"/>
    <numFmt numFmtId="166" formatCode="0.0%"/>
    <numFmt numFmtId="167" formatCode="#,##0.0"/>
    <numFmt numFmtId="168" formatCode="&quot; F&quot;#,##0_);\(&quot; F&quot;#,##0\)"/>
    <numFmt numFmtId="169" formatCode="0&quot; F&quot;;\ \-0&quot; F&quot;"/>
    <numFmt numFmtId="170" formatCode="_-* #,##0.0\ _€_-;\-* #,##0.0\ _€_-;_-* &quot;-&quot;??\ _€_-;_-@_-"/>
    <numFmt numFmtId="171" formatCode="_-* #,##0.0\ _€_-;\-* #,##0.0\ _€_-;_-* &quot;-&quot;?\ _€_-;_-@_-"/>
    <numFmt numFmtId="172" formatCode="_-* #,##0.000\ _€_-;\-* #,##0.000\ _€_-;_-* &quot;-&quot;?\ _€_-;_-@_-"/>
    <numFmt numFmtId="173" formatCode="_-* #,##0.0000\ _€_-;\-* #,##0.0000\ _€_-;_-* &quot;-&quot;?\ _€_-;_-@_-"/>
    <numFmt numFmtId="174" formatCode="_-* #,##0.00\ [$€]_-;\-* #,##0.00\ [$€]_-;_-* &quot;-&quot;??\ [$€]_-;_-@_-"/>
    <numFmt numFmtId="175" formatCode="_(* #,##0_);_(* \(#,##0\);_(* &quot;-&quot;_);_(@_)"/>
    <numFmt numFmtId="176" formatCode="_(* #,##0.00_);_(* \(#,##0.00\);_(* &quot;-&quot;??_);_(@_)"/>
    <numFmt numFmtId="177" formatCode="_(&quot;$&quot;* #,##0_);_(&quot;$&quot;* \(#,##0\);_(&quot;$&quot;* &quot;-&quot;_);_(@_)"/>
    <numFmt numFmtId="178" formatCode="_(&quot;$&quot;* #,##0.00_);_(&quot;$&quot;* \(#,##0.00\);_(&quot;$&quot;* &quot;-&quot;??_);_(@_)"/>
    <numFmt numFmtId="179" formatCode="_-* #,##0.00\ _F_-;\-* #,##0.00\ _F_-;_-* &quot;-&quot;??\ _F_-;_-@_-"/>
    <numFmt numFmtId="180" formatCode="#,##0\ _€"/>
    <numFmt numFmtId="181" formatCode="_-* #,##0.000\ _€_-;\-* #,##0.000\ _€_-;_-* &quot;-&quot;???\ _€_-;_-@_-"/>
    <numFmt numFmtId="182" formatCode="_-* #,##0\ _€_-;\-* #,##0\ _€_-;_-* &quot;-&quot;\ _€_-;_-@_-"/>
    <numFmt numFmtId="183" formatCode="_-* #,##0.000\ _€_-;\-* #,##0.000\ _€_-;_-* &quot;-&quot;??\ _€_-;_-@_-"/>
    <numFmt numFmtId="184" formatCode="0.000"/>
    <numFmt numFmtId="185" formatCode="0.0000"/>
    <numFmt numFmtId="186" formatCode="#,##0.000\ _€"/>
  </numFmts>
  <fonts count="9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10"/>
      <color indexed="10"/>
      <name val="Arial"/>
      <family val="2"/>
    </font>
    <font>
      <i/>
      <sz val="8"/>
      <name val="Arial"/>
      <family val="2"/>
    </font>
    <font>
      <b/>
      <sz val="8"/>
      <name val="Arial"/>
      <family val="2"/>
    </font>
    <font>
      <sz val="8"/>
      <name val="Arial"/>
      <family val="2"/>
    </font>
    <font>
      <b/>
      <sz val="8"/>
      <color indexed="9"/>
      <name val="Arial"/>
      <family val="2"/>
    </font>
    <font>
      <sz val="8"/>
      <name val="Arial"/>
      <family val="2"/>
    </font>
    <font>
      <u/>
      <sz val="10"/>
      <color indexed="12"/>
      <name val="Arial"/>
      <family val="2"/>
    </font>
    <font>
      <sz val="10"/>
      <name val="MS Sans Serif"/>
      <family val="2"/>
    </font>
    <font>
      <b/>
      <sz val="12"/>
      <name val="Arial"/>
      <family val="2"/>
    </font>
    <font>
      <i/>
      <sz val="10"/>
      <name val="Arial"/>
      <family val="2"/>
    </font>
    <font>
      <sz val="10"/>
      <color indexed="8"/>
      <name val="Arial"/>
      <family val="2"/>
    </font>
    <font>
      <b/>
      <sz val="10"/>
      <color indexed="9"/>
      <name val="Arial"/>
      <family val="2"/>
    </font>
    <font>
      <sz val="11"/>
      <color indexed="8"/>
      <name val="Calibri"/>
      <family val="2"/>
    </font>
    <font>
      <u/>
      <sz val="10"/>
      <color indexed="12"/>
      <name val="Times New Roman"/>
      <family val="1"/>
    </font>
    <font>
      <sz val="11"/>
      <color theme="1"/>
      <name val="Calibri"/>
      <family val="2"/>
      <scheme val="minor"/>
    </font>
    <font>
      <u/>
      <sz val="11"/>
      <color theme="10"/>
      <name val="Calibri"/>
      <family val="2"/>
      <scheme val="minor"/>
    </font>
    <font>
      <i/>
      <sz val="10"/>
      <color rgb="FF000000"/>
      <name val="Arial"/>
      <family val="2"/>
    </font>
    <font>
      <b/>
      <sz val="12"/>
      <color rgb="FF000000"/>
      <name val="Arial"/>
      <family val="2"/>
    </font>
    <font>
      <b/>
      <sz val="10"/>
      <color theme="0"/>
      <name val="Arial"/>
      <family val="2"/>
    </font>
    <font>
      <b/>
      <sz val="8"/>
      <color theme="0"/>
      <name val="Arial"/>
      <family val="2"/>
    </font>
    <font>
      <sz val="8"/>
      <color theme="0"/>
      <name val="Arial"/>
      <family val="2"/>
    </font>
    <font>
      <b/>
      <sz val="9"/>
      <color rgb="FFFF0000"/>
      <name val="Arial"/>
      <family val="2"/>
    </font>
    <font>
      <sz val="9"/>
      <name val="Arial"/>
      <family val="2"/>
    </font>
    <font>
      <sz val="8.5"/>
      <name val="Arial"/>
      <family val="2"/>
    </font>
    <font>
      <b/>
      <sz val="11"/>
      <name val="Arial"/>
      <family val="2"/>
    </font>
    <font>
      <b/>
      <sz val="11"/>
      <color indexed="10"/>
      <name val="Arial"/>
      <family val="2"/>
    </font>
    <font>
      <sz val="8.5"/>
      <name val="MS Sans Serif"/>
      <family val="2"/>
    </font>
    <font>
      <u/>
      <sz val="10"/>
      <color indexed="30"/>
      <name val="Arial"/>
      <family val="2"/>
    </font>
    <font>
      <b/>
      <sz val="7.5"/>
      <color rgb="FFFFFFFF"/>
      <name val="Arial"/>
      <family val="2"/>
    </font>
    <font>
      <sz val="8"/>
      <color indexed="8"/>
      <name val="Arial"/>
      <family val="2"/>
    </font>
    <font>
      <b/>
      <sz val="18"/>
      <color indexed="56"/>
      <name val="Cambria"/>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b/>
      <sz val="8"/>
      <color indexed="12"/>
      <name val="Arial"/>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u/>
      <sz val="10"/>
      <color theme="10"/>
      <name val="Arial"/>
      <family val="2"/>
    </font>
    <font>
      <sz val="10"/>
      <color theme="0"/>
      <name val="Arial"/>
      <family val="2"/>
    </font>
    <font>
      <b/>
      <sz val="9"/>
      <name val="Arial"/>
      <family val="2"/>
    </font>
    <font>
      <b/>
      <i/>
      <sz val="8"/>
      <color indexed="9"/>
      <name val="Arial"/>
      <family val="2"/>
    </font>
    <font>
      <i/>
      <sz val="8"/>
      <color theme="0"/>
      <name val="Arial"/>
      <family val="2"/>
    </font>
    <font>
      <i/>
      <sz val="10"/>
      <name val="MS Sans Serif"/>
      <family val="2"/>
    </font>
    <font>
      <sz val="11"/>
      <name val="Arial"/>
      <family val="2"/>
    </font>
    <font>
      <sz val="12"/>
      <color rgb="FF000000"/>
      <name val="Arial"/>
      <family val="2"/>
    </font>
    <font>
      <i/>
      <sz val="8.5"/>
      <name val="Arial"/>
      <family val="2"/>
    </font>
    <font>
      <sz val="11"/>
      <color theme="1"/>
      <name val="Calibri Light"/>
      <family val="2"/>
    </font>
    <font>
      <u/>
      <sz val="11"/>
      <color theme="10"/>
      <name val="Calibri Light"/>
      <family val="2"/>
    </font>
    <font>
      <i/>
      <sz val="9"/>
      <name val="Arial"/>
      <family val="2"/>
    </font>
    <font>
      <b/>
      <sz val="11"/>
      <color theme="1"/>
      <name val="Calibri"/>
      <family val="2"/>
      <scheme val="minor"/>
    </font>
    <font>
      <b/>
      <sz val="12"/>
      <color theme="1"/>
      <name val="Calibri"/>
      <family val="2"/>
      <scheme val="minor"/>
    </font>
    <font>
      <sz val="11"/>
      <color rgb="FF000000"/>
      <name val="Calibri"/>
      <family val="2"/>
      <scheme val="minor"/>
    </font>
    <font>
      <b/>
      <sz val="11"/>
      <name val="Calibri"/>
      <family val="2"/>
    </font>
    <font>
      <b/>
      <sz val="12"/>
      <color rgb="FF000000"/>
      <name val="Calibri"/>
      <family val="2"/>
    </font>
    <font>
      <b/>
      <sz val="12"/>
      <color theme="1"/>
      <name val="Calibri"/>
      <family val="2"/>
    </font>
    <font>
      <b/>
      <sz val="11"/>
      <color rgb="FF000000"/>
      <name val="Calibri"/>
      <family val="2"/>
      <scheme val="minor"/>
    </font>
    <font>
      <b/>
      <sz val="8"/>
      <color theme="3" tint="-0.249977111117893"/>
      <name val="Arial"/>
      <family val="2"/>
    </font>
    <font>
      <u/>
      <sz val="9"/>
      <color theme="10"/>
      <name val="Arial"/>
      <family val="2"/>
    </font>
    <font>
      <sz val="8"/>
      <color rgb="FF000000"/>
      <name val="Segoe UI"/>
      <family val="2"/>
    </font>
    <font>
      <sz val="10"/>
      <color rgb="FF000000"/>
      <name val="Consolas"/>
      <family val="3"/>
    </font>
  </fonts>
  <fills count="31">
    <fill>
      <patternFill patternType="none"/>
    </fill>
    <fill>
      <patternFill patternType="gray125"/>
    </fill>
    <fill>
      <patternFill patternType="solid">
        <fgColor indexed="44"/>
        <bgColor indexed="64"/>
      </patternFill>
    </fill>
    <fill>
      <patternFill patternType="solid">
        <fgColor theme="3" tint="-0.249977111117893"/>
        <bgColor indexed="64"/>
      </patternFill>
    </fill>
    <fill>
      <patternFill patternType="solid">
        <fgColor theme="0"/>
        <bgColor indexed="64"/>
      </patternFill>
    </fill>
    <fill>
      <patternFill patternType="solid">
        <fgColor rgb="FF33339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26"/>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theme="5" tint="0.39997558519241921"/>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9"/>
      </left>
      <right style="thin">
        <color indexed="9"/>
      </right>
      <top style="thin">
        <color indexed="64"/>
      </top>
      <bottom/>
      <diagonal/>
    </border>
    <border>
      <left style="thin">
        <color indexed="9"/>
      </left>
      <right style="thin">
        <color indexed="9"/>
      </right>
      <top/>
      <bottom/>
      <diagonal/>
    </border>
    <border>
      <left/>
      <right/>
      <top/>
      <bottom style="thin">
        <color indexed="64"/>
      </bottom>
      <diagonal/>
    </border>
    <border>
      <left/>
      <right/>
      <top/>
      <bottom style="medium">
        <color indexed="9"/>
      </bottom>
      <diagonal/>
    </border>
    <border>
      <left/>
      <right/>
      <top style="thin">
        <color indexed="64"/>
      </top>
      <bottom style="thin">
        <color indexed="64"/>
      </bottom>
      <diagonal/>
    </border>
    <border>
      <left style="thin">
        <color indexed="9"/>
      </left>
      <right style="thin">
        <color indexed="9"/>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9"/>
      </left>
      <right/>
      <top style="thin">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theme="0"/>
      </left>
      <right style="thin">
        <color theme="0"/>
      </right>
      <top/>
      <bottom/>
      <diagonal/>
    </border>
    <border>
      <left/>
      <right/>
      <top/>
      <bottom style="medium">
        <color rgb="FF0000FF"/>
      </bottom>
      <diagonal/>
    </border>
    <border>
      <left style="thin">
        <color theme="0"/>
      </left>
      <right style="thin">
        <color theme="0"/>
      </right>
      <top/>
      <bottom style="medium">
        <color rgb="FF0000FF"/>
      </bottom>
      <diagonal/>
    </border>
    <border>
      <left style="thin">
        <color theme="0"/>
      </left>
      <right/>
      <top/>
      <bottom style="medium">
        <color rgb="FF0000FF"/>
      </bottom>
      <diagonal/>
    </border>
    <border>
      <left/>
      <right style="thin">
        <color theme="0"/>
      </right>
      <top/>
      <bottom/>
      <diagonal/>
    </border>
    <border>
      <left/>
      <right style="thin">
        <color indexed="9"/>
      </right>
      <top style="thin">
        <color theme="3" tint="-0.249977111117893"/>
      </top>
      <bottom/>
      <diagonal/>
    </border>
    <border>
      <left style="thin">
        <color theme="3" tint="-0.249977111117893"/>
      </left>
      <right/>
      <top/>
      <bottom/>
      <diagonal/>
    </border>
    <border>
      <left style="thin">
        <color theme="3" tint="-0.249977111117893"/>
      </left>
      <right/>
      <top style="thin">
        <color indexed="64"/>
      </top>
      <bottom/>
      <diagonal/>
    </border>
    <border>
      <left style="thin">
        <color theme="3" tint="-0.249977111117893"/>
      </left>
      <right/>
      <top/>
      <bottom style="thin">
        <color theme="3" tint="-0.249977111117893"/>
      </bottom>
      <diagonal/>
    </border>
    <border>
      <left style="thin">
        <color indexed="9"/>
      </left>
      <right style="thin">
        <color indexed="9"/>
      </right>
      <top/>
      <bottom style="thin">
        <color theme="3" tint="-0.249977111117893"/>
      </bottom>
      <diagonal/>
    </border>
    <border>
      <left/>
      <right style="thin">
        <color indexed="9"/>
      </right>
      <top/>
      <bottom style="thin">
        <color theme="0"/>
      </bottom>
      <diagonal/>
    </border>
    <border>
      <left/>
      <right style="thin">
        <color theme="0"/>
      </right>
      <top/>
      <bottom style="medium">
        <color rgb="FF0000FF"/>
      </bottom>
      <diagonal/>
    </border>
    <border>
      <left style="medium">
        <color rgb="FFFFFFFF"/>
      </left>
      <right style="medium">
        <color rgb="FFFFFFFF"/>
      </right>
      <top style="medium">
        <color rgb="FFFFFFFF"/>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theme="0"/>
      </left>
      <right style="thin">
        <color theme="0"/>
      </right>
      <top/>
      <bottom style="medium">
        <color indexed="9"/>
      </bottom>
      <diagonal/>
    </border>
    <border>
      <left style="thin">
        <color theme="0"/>
      </left>
      <right style="thin">
        <color theme="0"/>
      </right>
      <top style="medium">
        <color indexed="9"/>
      </top>
      <bottom/>
      <diagonal/>
    </border>
    <border>
      <left/>
      <right style="thin">
        <color theme="0"/>
      </right>
      <top/>
      <bottom style="medium">
        <color indexed="9"/>
      </bottom>
      <diagonal/>
    </border>
    <border>
      <left style="thin">
        <color indexed="9"/>
      </left>
      <right style="thin">
        <color indexed="9"/>
      </right>
      <top style="thin">
        <color theme="3" tint="-0.249977111117893"/>
      </top>
      <bottom/>
      <diagonal/>
    </border>
    <border>
      <left style="thin">
        <color indexed="9"/>
      </left>
      <right style="thin">
        <color indexed="9"/>
      </right>
      <top/>
      <bottom style="thin">
        <color theme="0"/>
      </bottom>
      <diagonal/>
    </border>
    <border>
      <left style="thin">
        <color indexed="64"/>
      </left>
      <right/>
      <top/>
      <bottom/>
      <diagonal/>
    </border>
    <border>
      <left style="thin">
        <color indexed="64"/>
      </left>
      <right/>
      <top style="thin">
        <color indexed="64"/>
      </top>
      <bottom/>
      <diagonal/>
    </border>
    <border>
      <left/>
      <right style="thin">
        <color indexed="9"/>
      </right>
      <top/>
      <bottom/>
      <diagonal/>
    </border>
    <border>
      <left/>
      <right style="thin">
        <color indexed="9"/>
      </right>
      <top/>
      <bottom style="thin">
        <color theme="3" tint="-0.249977111117893"/>
      </bottom>
      <diagonal/>
    </border>
    <border>
      <left/>
      <right style="thick">
        <color theme="3" tint="-0.249977111117893"/>
      </right>
      <top/>
      <bottom/>
      <diagonal/>
    </border>
    <border>
      <left style="thin">
        <color indexed="9"/>
      </left>
      <right style="thick">
        <color theme="3" tint="-0.249977111117893"/>
      </right>
      <top style="thin">
        <color indexed="64"/>
      </top>
      <bottom/>
      <diagonal/>
    </border>
    <border>
      <left style="thin">
        <color indexed="9"/>
      </left>
      <right style="thick">
        <color theme="3" tint="-0.249977111117893"/>
      </right>
      <top/>
      <bottom/>
      <diagonal/>
    </border>
    <border>
      <left style="thin">
        <color indexed="9"/>
      </left>
      <right style="thick">
        <color theme="3" tint="-0.249977111117893"/>
      </right>
      <top/>
      <bottom style="thin">
        <color theme="3" tint="-0.249977111117893"/>
      </bottom>
      <diagonal/>
    </border>
    <border>
      <left style="thin">
        <color indexed="9"/>
      </left>
      <right style="thick">
        <color theme="3" tint="-0.249977111117893"/>
      </right>
      <top style="thin">
        <color theme="3" tint="-0.249977111117893"/>
      </top>
      <bottom/>
      <diagonal/>
    </border>
    <border>
      <left style="thin">
        <color indexed="9"/>
      </left>
      <right style="thick">
        <color theme="3" tint="-0.249977111117893"/>
      </right>
      <top/>
      <bottom style="thin">
        <color theme="0"/>
      </bottom>
      <diagonal/>
    </border>
    <border>
      <left/>
      <right/>
      <top style="thin">
        <color auto="1"/>
      </top>
      <bottom style="thin">
        <color auto="1"/>
      </bottom>
      <diagonal/>
    </border>
    <border>
      <left/>
      <right/>
      <top style="thin">
        <color auto="1"/>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rgb="FFC1C1C1"/>
      </left>
      <right/>
      <top/>
      <bottom/>
      <diagonal/>
    </border>
    <border>
      <left/>
      <right style="medium">
        <color indexed="64"/>
      </right>
      <top style="thin">
        <color indexed="64"/>
      </top>
      <bottom/>
      <diagonal/>
    </border>
    <border>
      <left style="thin">
        <color theme="0"/>
      </left>
      <right style="thin">
        <color theme="0"/>
      </right>
      <top/>
      <bottom style="medium">
        <color indexed="64"/>
      </bottom>
      <diagonal/>
    </border>
    <border>
      <left/>
      <right style="thin">
        <color indexed="64"/>
      </right>
      <top/>
      <bottom style="thin">
        <color indexed="64"/>
      </bottom>
      <diagonal/>
    </border>
    <border>
      <left/>
      <right style="thin">
        <color indexed="64"/>
      </right>
      <top/>
      <bottom/>
      <diagonal/>
    </border>
    <border>
      <left style="thin">
        <color theme="3" tint="-0.249977111117893"/>
      </left>
      <right/>
      <top/>
      <bottom style="thin">
        <color indexed="64"/>
      </bottom>
      <diagonal/>
    </border>
    <border>
      <left/>
      <right style="thick">
        <color theme="3" tint="-0.249977111117893"/>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9"/>
      </right>
      <top style="thin">
        <color indexed="64"/>
      </top>
      <bottom/>
      <diagonal/>
    </border>
    <border>
      <left style="thin">
        <color indexed="9"/>
      </left>
      <right style="thin">
        <color indexed="9"/>
      </right>
      <top/>
      <bottom style="thin">
        <color indexed="64"/>
      </bottom>
      <diagonal/>
    </border>
  </borders>
  <cellStyleXfs count="163">
    <xf numFmtId="0" fontId="0" fillId="0" borderId="0"/>
    <xf numFmtId="0" fontId="17" fillId="0" borderId="0" applyNumberFormat="0" applyFill="0" applyBorder="0" applyAlignment="0" applyProtection="0">
      <alignment vertical="top"/>
      <protection locked="0"/>
    </xf>
    <xf numFmtId="0" fontId="26" fillId="0" borderId="0" applyNumberFormat="0" applyFill="0" applyBorder="0" applyAlignment="0" applyProtection="0"/>
    <xf numFmtId="0" fontId="24" fillId="0" borderId="0" applyNumberFormat="0" applyFill="0" applyBorder="0" applyAlignment="0" applyProtection="0">
      <alignment vertical="top"/>
      <protection locked="0"/>
    </xf>
    <xf numFmtId="164" fontId="8" fillId="0" borderId="0" applyFont="0" applyFill="0" applyBorder="0" applyAlignment="0" applyProtection="0"/>
    <xf numFmtId="40" fontId="18" fillId="0" borderId="0" applyFont="0" applyFill="0" applyBorder="0" applyAlignment="0" applyProtection="0"/>
    <xf numFmtId="164" fontId="10" fillId="0" borderId="0" applyFont="0" applyFill="0" applyBorder="0" applyAlignment="0" applyProtection="0"/>
    <xf numFmtId="0" fontId="10" fillId="0" borderId="0"/>
    <xf numFmtId="0" fontId="25" fillId="0" borderId="0"/>
    <xf numFmtId="0" fontId="18" fillId="0" borderId="0"/>
    <xf numFmtId="0" fontId="23" fillId="0" borderId="0" applyFill="0" applyProtection="0"/>
    <xf numFmtId="0" fontId="18" fillId="0" borderId="0"/>
    <xf numFmtId="0" fontId="18" fillId="0" borderId="0"/>
    <xf numFmtId="0" fontId="18" fillId="0" borderId="0"/>
    <xf numFmtId="9" fontId="8" fillId="0" borderId="0" applyFont="0" applyFill="0" applyBorder="0" applyAlignment="0" applyProtection="0"/>
    <xf numFmtId="9" fontId="10" fillId="0" borderId="0" applyFont="0" applyFill="0" applyBorder="0" applyAlignment="0" applyProtection="0"/>
    <xf numFmtId="9" fontId="18" fillId="0" borderId="0" applyFont="0" applyFill="0" applyBorder="0" applyAlignment="0" applyProtection="0"/>
    <xf numFmtId="0" fontId="7" fillId="0" borderId="0"/>
    <xf numFmtId="0" fontId="6" fillId="0" borderId="0"/>
    <xf numFmtId="174" fontId="8" fillId="0" borderId="0" applyFont="0" applyFill="0" applyBorder="0" applyAlignment="0" applyProtection="0"/>
    <xf numFmtId="0" fontId="17"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164" fontId="8" fillId="0" borderId="0" applyFont="0" applyFill="0" applyBorder="0" applyAlignment="0" applyProtection="0"/>
    <xf numFmtId="40" fontId="18" fillId="0" borderId="0" applyFont="0" applyFill="0" applyBorder="0" applyAlignment="0" applyProtection="0"/>
    <xf numFmtId="0" fontId="8" fillId="0" borderId="0"/>
    <xf numFmtId="0" fontId="8" fillId="0" borderId="0"/>
    <xf numFmtId="0" fontId="18" fillId="0" borderId="0"/>
    <xf numFmtId="0" fontId="8" fillId="0" borderId="0"/>
    <xf numFmtId="0" fontId="8" fillId="0" borderId="0"/>
    <xf numFmtId="0" fontId="6" fillId="0" borderId="0"/>
    <xf numFmtId="0" fontId="6" fillId="0" borderId="0"/>
    <xf numFmtId="0" fontId="8" fillId="0" borderId="0"/>
    <xf numFmtId="0" fontId="8" fillId="0" borderId="0"/>
    <xf numFmtId="0" fontId="18" fillId="0" borderId="0"/>
    <xf numFmtId="0" fontId="8" fillId="0" borderId="0"/>
    <xf numFmtId="0" fontId="8" fillId="0" borderId="0"/>
    <xf numFmtId="9" fontId="18" fillId="0" borderId="0" applyFont="0" applyFill="0" applyBorder="0" applyAlignment="0" applyProtection="0"/>
    <xf numFmtId="9" fontId="8" fillId="0" borderId="0" applyFont="0" applyFill="0" applyBorder="0" applyAlignment="0" applyProtection="0"/>
    <xf numFmtId="164" fontId="8" fillId="0" borderId="0" applyFont="0" applyFill="0" applyBorder="0" applyAlignment="0" applyProtection="0"/>
    <xf numFmtId="9" fontId="8" fillId="0" borderId="0" applyFont="0" applyFill="0" applyBorder="0" applyAlignment="0" applyProtection="0"/>
    <xf numFmtId="0" fontId="5" fillId="0" borderId="0"/>
    <xf numFmtId="9" fontId="5" fillId="0" borderId="0" applyFont="0" applyFill="0" applyBorder="0" applyAlignment="0" applyProtection="0"/>
    <xf numFmtId="0" fontId="8" fillId="0" borderId="0"/>
    <xf numFmtId="0" fontId="21" fillId="6"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9" borderId="0" applyNumberFormat="0" applyBorder="0" applyAlignment="0" applyProtection="0"/>
    <xf numFmtId="0" fontId="21" fillId="12" borderId="0" applyNumberFormat="0" applyBorder="0" applyAlignment="0" applyProtection="0"/>
    <xf numFmtId="0" fontId="21" fillId="15" borderId="0" applyNumberFormat="0" applyBorder="0" applyAlignment="0" applyProtection="0"/>
    <xf numFmtId="0" fontId="42" fillId="16" borderId="0" applyNumberFormat="0" applyBorder="0" applyAlignment="0" applyProtection="0"/>
    <xf numFmtId="0" fontId="42" fillId="13" borderId="0" applyNumberFormat="0" applyBorder="0" applyAlignment="0" applyProtection="0"/>
    <xf numFmtId="0" fontId="42" fillId="14" borderId="0" applyNumberFormat="0" applyBorder="0" applyAlignment="0" applyProtection="0"/>
    <xf numFmtId="0" fontId="42" fillId="17" borderId="0" applyNumberFormat="0" applyBorder="0" applyAlignment="0" applyProtection="0"/>
    <xf numFmtId="0" fontId="42" fillId="18" borderId="0" applyNumberFormat="0" applyBorder="0" applyAlignment="0" applyProtection="0"/>
    <xf numFmtId="0" fontId="42" fillId="19" borderId="0" applyNumberFormat="0" applyBorder="0" applyAlignment="0" applyProtection="0"/>
    <xf numFmtId="0" fontId="43" fillId="7" borderId="0" applyNumberFormat="0" applyBorder="0" applyAlignment="0" applyProtection="0"/>
    <xf numFmtId="0" fontId="14" fillId="20" borderId="37"/>
    <xf numFmtId="0" fontId="44" fillId="21" borderId="38" applyNumberFormat="0" applyAlignment="0" applyProtection="0"/>
    <xf numFmtId="0" fontId="14" fillId="0" borderId="1"/>
    <xf numFmtId="0" fontId="22" fillId="22" borderId="40" applyNumberFormat="0" applyAlignment="0" applyProtection="0"/>
    <xf numFmtId="0" fontId="45" fillId="23" borderId="0">
      <alignment horizontal="center"/>
    </xf>
    <xf numFmtId="0" fontId="46" fillId="23" borderId="0">
      <alignment horizontal="center" vertical="center"/>
    </xf>
    <xf numFmtId="0" fontId="8" fillId="24" borderId="0">
      <alignment horizontal="center" wrapText="1"/>
    </xf>
    <xf numFmtId="0" fontId="47" fillId="23" borderId="0">
      <alignment horizontal="center"/>
    </xf>
    <xf numFmtId="175" fontId="48" fillId="0" borderId="0" applyFont="0" applyFill="0" applyBorder="0" applyAlignment="0" applyProtection="0"/>
    <xf numFmtId="176" fontId="8" fillId="0" borderId="0" applyFont="0" applyFill="0" applyBorder="0" applyAlignment="0" applyProtection="0"/>
    <xf numFmtId="176" fontId="48" fillId="0" borderId="0" applyFont="0" applyFill="0" applyBorder="0" applyAlignment="0" applyProtection="0"/>
    <xf numFmtId="177" fontId="48" fillId="0" borderId="0" applyFont="0" applyFill="0" applyBorder="0" applyAlignment="0" applyProtection="0"/>
    <xf numFmtId="178" fontId="48" fillId="0" borderId="0" applyFont="0" applyFill="0" applyBorder="0" applyAlignment="0" applyProtection="0"/>
    <xf numFmtId="0" fontId="49" fillId="26" borderId="37" applyBorder="0">
      <protection locked="0"/>
    </xf>
    <xf numFmtId="0" fontId="50" fillId="0" borderId="0" applyNumberFormat="0" applyFill="0" applyBorder="0" applyAlignment="0" applyProtection="0"/>
    <xf numFmtId="0" fontId="40" fillId="23" borderId="1">
      <alignment horizontal="left"/>
    </xf>
    <xf numFmtId="0" fontId="51" fillId="23" borderId="0">
      <alignment horizontal="left"/>
    </xf>
    <xf numFmtId="0" fontId="52" fillId="8" borderId="0" applyNumberFormat="0" applyBorder="0" applyAlignment="0" applyProtection="0"/>
    <xf numFmtId="0" fontId="53" fillId="27" borderId="0">
      <alignment horizontal="right" vertical="top" textRotation="90" wrapText="1"/>
    </xf>
    <xf numFmtId="0" fontId="54" fillId="0" borderId="42" applyNumberFormat="0" applyFill="0" applyAlignment="0" applyProtection="0"/>
    <xf numFmtId="0" fontId="55" fillId="0" borderId="43" applyNumberFormat="0" applyFill="0" applyAlignment="0" applyProtection="0"/>
    <xf numFmtId="0" fontId="56" fillId="0" borderId="44" applyNumberFormat="0" applyFill="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8" fillId="11" borderId="38" applyNumberFormat="0" applyAlignment="0" applyProtection="0"/>
    <xf numFmtId="0" fontId="9" fillId="24" borderId="0">
      <alignment horizontal="center"/>
    </xf>
    <xf numFmtId="0" fontId="14" fillId="23" borderId="7">
      <alignment wrapText="1"/>
    </xf>
    <xf numFmtId="0" fontId="59" fillId="23" borderId="2"/>
    <xf numFmtId="0" fontId="59" fillId="23" borderId="5"/>
    <xf numFmtId="0" fontId="14" fillId="23" borderId="45">
      <alignment horizontal="center" wrapText="1"/>
    </xf>
    <xf numFmtId="0" fontId="26" fillId="0" borderId="0" applyNumberFormat="0" applyFill="0" applyBorder="0" applyAlignment="0" applyProtection="0"/>
    <xf numFmtId="0" fontId="68" fillId="0" borderId="0" applyNumberFormat="0" applyFill="0" applyBorder="0" applyAlignment="0" applyProtection="0"/>
    <xf numFmtId="0" fontId="60" fillId="0" borderId="39" applyNumberFormat="0" applyFill="0" applyAlignment="0" applyProtection="0"/>
    <xf numFmtId="0" fontId="8" fillId="0" borderId="0" applyFont="0" applyFill="0" applyBorder="0" applyAlignment="0" applyProtection="0"/>
    <xf numFmtId="0" fontId="61" fillId="28" borderId="0" applyNumberFormat="0" applyBorder="0" applyAlignment="0" applyProtection="0"/>
    <xf numFmtId="0" fontId="62" fillId="0" borderId="0"/>
    <xf numFmtId="0" fontId="23" fillId="0" borderId="0" applyFill="0" applyProtection="0"/>
    <xf numFmtId="0" fontId="21" fillId="0" borderId="0"/>
    <xf numFmtId="0" fontId="8" fillId="0" borderId="0"/>
    <xf numFmtId="0" fontId="5" fillId="0" borderId="0"/>
    <xf numFmtId="0" fontId="21" fillId="0" borderId="0"/>
    <xf numFmtId="0" fontId="8" fillId="25" borderId="41" applyNumberFormat="0" applyFont="0" applyAlignment="0" applyProtection="0"/>
    <xf numFmtId="0" fontId="63" fillId="21" borderId="46" applyNumberFormat="0" applyAlignment="0" applyProtection="0"/>
    <xf numFmtId="9" fontId="8" fillId="0" borderId="0" applyFont="0" applyFill="0" applyBorder="0" applyAlignment="0" applyProtection="0"/>
    <xf numFmtId="9" fontId="8" fillId="0" borderId="0" applyNumberFormat="0" applyFont="0" applyFill="0" applyBorder="0" applyAlignment="0" applyProtection="0"/>
    <xf numFmtId="9" fontId="8" fillId="0" borderId="0" applyFont="0" applyFill="0" applyBorder="0" applyAlignment="0" applyProtection="0"/>
    <xf numFmtId="9" fontId="8" fillId="0" borderId="0" applyNumberFormat="0" applyFont="0" applyFill="0" applyBorder="0" applyAlignment="0" applyProtection="0"/>
    <xf numFmtId="0" fontId="14" fillId="23" borderId="1"/>
    <xf numFmtId="0" fontId="46" fillId="23" borderId="0">
      <alignment horizontal="right"/>
    </xf>
    <xf numFmtId="0" fontId="64" fillId="29" borderId="0">
      <alignment horizontal="center"/>
    </xf>
    <xf numFmtId="0" fontId="65" fillId="24" borderId="0"/>
    <xf numFmtId="0" fontId="66" fillId="27" borderId="47">
      <alignment horizontal="left" vertical="top" wrapText="1"/>
    </xf>
    <xf numFmtId="0" fontId="66" fillId="27" borderId="22">
      <alignment horizontal="left" vertical="top"/>
    </xf>
    <xf numFmtId="37" fontId="67" fillId="0" borderId="0"/>
    <xf numFmtId="0" fontId="45" fillId="23" borderId="0">
      <alignment horizontal="center"/>
    </xf>
    <xf numFmtId="0" fontId="41" fillId="0" borderId="0" applyNumberFormat="0" applyFill="0" applyBorder="0" applyAlignment="0" applyProtection="0"/>
    <xf numFmtId="0" fontId="13" fillId="23" borderId="0"/>
    <xf numFmtId="0" fontId="11" fillId="0" borderId="0" applyNumberFormat="0" applyFill="0" applyBorder="0" applyAlignment="0" applyProtection="0"/>
    <xf numFmtId="0" fontId="26" fillId="0" borderId="0" applyNumberFormat="0" applyFill="0" applyBorder="0" applyAlignment="0" applyProtection="0"/>
    <xf numFmtId="0" fontId="8" fillId="0" borderId="0"/>
    <xf numFmtId="0" fontId="5" fillId="0" borderId="0"/>
    <xf numFmtId="0" fontId="8" fillId="0" borderId="0"/>
    <xf numFmtId="164" fontId="8" fillId="0" borderId="0" applyFont="0" applyFill="0" applyBorder="0" applyAlignment="0" applyProtection="0"/>
    <xf numFmtId="0" fontId="8" fillId="0" borderId="0"/>
    <xf numFmtId="0" fontId="5" fillId="0" borderId="0"/>
    <xf numFmtId="0" fontId="18" fillId="0" borderId="0"/>
    <xf numFmtId="0" fontId="23" fillId="0" borderId="0" applyFill="0" applyProtection="0"/>
    <xf numFmtId="0" fontId="18" fillId="0" borderId="0"/>
    <xf numFmtId="9" fontId="8" fillId="0" borderId="0" applyFont="0" applyFill="0" applyBorder="0" applyAlignment="0" applyProtection="0"/>
    <xf numFmtId="9" fontId="18" fillId="0" borderId="0" applyFont="0" applyFill="0" applyBorder="0" applyAlignment="0" applyProtection="0"/>
    <xf numFmtId="0" fontId="5" fillId="0" borderId="0"/>
    <xf numFmtId="0" fontId="5" fillId="0" borderId="0"/>
    <xf numFmtId="0" fontId="5" fillId="0" borderId="0"/>
    <xf numFmtId="0" fontId="5" fillId="0" borderId="0"/>
    <xf numFmtId="0" fontId="18" fillId="0" borderId="0"/>
    <xf numFmtId="0" fontId="8" fillId="24" borderId="0">
      <alignment horizontal="center" wrapText="1"/>
    </xf>
    <xf numFmtId="176" fontId="8" fillId="0" borderId="0" applyFont="0" applyFill="0" applyBorder="0" applyAlignment="0" applyProtection="0"/>
    <xf numFmtId="0" fontId="8" fillId="25" borderId="41" applyNumberFormat="0" applyFont="0" applyAlignment="0" applyProtection="0"/>
    <xf numFmtId="9" fontId="8" fillId="0" borderId="0" applyFont="0" applyFill="0" applyBorder="0" applyAlignment="0" applyProtection="0"/>
    <xf numFmtId="179" fontId="8" fillId="0" borderId="0" applyFont="0" applyFill="0" applyBorder="0" applyAlignment="0" applyProtection="0"/>
    <xf numFmtId="179" fontId="8" fillId="0" borderId="0" applyFont="0" applyFill="0" applyBorder="0" applyAlignment="0" applyProtection="0"/>
    <xf numFmtId="0" fontId="4" fillId="0" borderId="0"/>
    <xf numFmtId="0" fontId="68" fillId="0" borderId="0" applyNumberFormat="0" applyFill="0" applyBorder="0" applyAlignment="0" applyProtection="0"/>
    <xf numFmtId="0" fontId="8" fillId="0" borderId="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9" fontId="3" fillId="0" borderId="0" applyFont="0" applyFill="0" applyBorder="0" applyAlignment="0" applyProtection="0"/>
    <xf numFmtId="0" fontId="77" fillId="0" borderId="0"/>
    <xf numFmtId="0" fontId="2" fillId="0" borderId="0"/>
    <xf numFmtId="9" fontId="2" fillId="0" borderId="0" applyFont="0" applyFill="0" applyBorder="0" applyAlignment="0" applyProtection="0"/>
    <xf numFmtId="0" fontId="77" fillId="0" borderId="0"/>
    <xf numFmtId="9" fontId="77" fillId="0" borderId="0" applyFont="0" applyFill="0" applyBorder="0" applyAlignment="0" applyProtection="0"/>
    <xf numFmtId="9" fontId="77" fillId="0" borderId="0" applyFont="0" applyFill="0" applyBorder="0" applyAlignment="0" applyProtection="0"/>
    <xf numFmtId="0" fontId="78" fillId="0" borderId="0" applyNumberFormat="0" applyFill="0" applyBorder="0" applyAlignment="0" applyProtection="0"/>
    <xf numFmtId="0" fontId="2" fillId="0" borderId="0"/>
    <xf numFmtId="0" fontId="2" fillId="0" borderId="0"/>
  </cellStyleXfs>
  <cellXfs count="448">
    <xf numFmtId="0" fontId="0" fillId="0" borderId="0" xfId="0"/>
    <xf numFmtId="0" fontId="0" fillId="0" borderId="0" xfId="0" applyFill="1" applyBorder="1"/>
    <xf numFmtId="0" fontId="0" fillId="0" borderId="0" xfId="0" applyFill="1" applyBorder="1" applyAlignment="1">
      <alignment horizontal="center"/>
    </xf>
    <xf numFmtId="0" fontId="14" fillId="0" borderId="0" xfId="0" applyFont="1"/>
    <xf numFmtId="165" fontId="0" fillId="0" borderId="1" xfId="0" applyNumberFormat="1" applyBorder="1"/>
    <xf numFmtId="0" fontId="9" fillId="0" borderId="0" xfId="7" applyFont="1" applyFill="1"/>
    <xf numFmtId="0" fontId="10" fillId="0" borderId="0" xfId="7" applyFill="1"/>
    <xf numFmtId="0" fontId="10" fillId="0" borderId="0" xfId="7"/>
    <xf numFmtId="0" fontId="9" fillId="0" borderId="0" xfId="7" applyFont="1"/>
    <xf numFmtId="0" fontId="10" fillId="0" borderId="0" xfId="7" applyFont="1"/>
    <xf numFmtId="0" fontId="27" fillId="0" borderId="0" xfId="7" applyFont="1" applyAlignment="1">
      <alignment horizontal="left" vertical="center" readingOrder="1"/>
    </xf>
    <xf numFmtId="0" fontId="12" fillId="0" borderId="0" xfId="7" applyFont="1"/>
    <xf numFmtId="0" fontId="14" fillId="0" borderId="0" xfId="7" applyFont="1" applyFill="1" applyBorder="1" applyProtection="1">
      <protection locked="0"/>
    </xf>
    <xf numFmtId="0" fontId="28" fillId="0" borderId="0" xfId="0" applyFont="1" applyAlignment="1">
      <alignment horizontal="left" vertical="center" readingOrder="1"/>
    </xf>
    <xf numFmtId="3" fontId="22" fillId="3" borderId="3" xfId="13" applyNumberFormat="1" applyFont="1" applyFill="1" applyBorder="1" applyAlignment="1">
      <alignment horizontal="center" wrapText="1"/>
    </xf>
    <xf numFmtId="0" fontId="29" fillId="3" borderId="3" xfId="13" applyFont="1" applyFill="1" applyBorder="1" applyAlignment="1" applyProtection="1">
      <alignment horizontal="center" wrapText="1"/>
      <protection locked="0"/>
    </xf>
    <xf numFmtId="169" fontId="14" fillId="0" borderId="0" xfId="7" applyNumberFormat="1" applyFont="1" applyFill="1" applyBorder="1" applyProtection="1">
      <protection locked="0"/>
    </xf>
    <xf numFmtId="0" fontId="14" fillId="0" borderId="0" xfId="7" applyFont="1" applyFill="1" applyBorder="1" applyAlignment="1">
      <alignment wrapText="1"/>
    </xf>
    <xf numFmtId="0" fontId="10" fillId="0" borderId="0" xfId="7" applyFont="1" applyFill="1" applyAlignment="1">
      <alignment vertical="center"/>
    </xf>
    <xf numFmtId="0" fontId="10" fillId="0" borderId="0" xfId="7" applyFont="1" applyAlignment="1">
      <alignment vertical="center"/>
    </xf>
    <xf numFmtId="0" fontId="9" fillId="0" borderId="0" xfId="0" applyFont="1"/>
    <xf numFmtId="171" fontId="0" fillId="0" borderId="0" xfId="0" applyNumberFormat="1" applyFill="1" applyBorder="1"/>
    <xf numFmtId="0" fontId="14" fillId="0" borderId="0" xfId="12" applyFont="1"/>
    <xf numFmtId="0" fontId="12" fillId="0" borderId="0" xfId="12" applyFont="1" applyFill="1"/>
    <xf numFmtId="0" fontId="14" fillId="0" borderId="0" xfId="12" applyFont="1" applyFill="1"/>
    <xf numFmtId="0" fontId="12" fillId="0" borderId="0" xfId="12" applyFont="1"/>
    <xf numFmtId="0" fontId="18" fillId="0" borderId="0" xfId="12" applyFill="1"/>
    <xf numFmtId="0" fontId="18" fillId="0" borderId="0" xfId="12"/>
    <xf numFmtId="0" fontId="14" fillId="0" borderId="0" xfId="11" applyFont="1" applyAlignment="1"/>
    <xf numFmtId="0" fontId="14" fillId="0" borderId="0" xfId="11" applyFont="1"/>
    <xf numFmtId="0" fontId="13" fillId="0" borderId="0" xfId="11" applyFont="1"/>
    <xf numFmtId="0" fontId="18" fillId="0" borderId="0" xfId="11"/>
    <xf numFmtId="0" fontId="32" fillId="0" borderId="0" xfId="11" applyFont="1" applyAlignment="1"/>
    <xf numFmtId="172" fontId="0" fillId="0" borderId="0" xfId="0" applyNumberFormat="1" applyFill="1" applyBorder="1"/>
    <xf numFmtId="1" fontId="14" fillId="0" borderId="0" xfId="11" applyNumberFormat="1" applyFont="1"/>
    <xf numFmtId="0" fontId="35" fillId="0" borderId="0" xfId="0" applyFont="1" applyFill="1" applyBorder="1"/>
    <xf numFmtId="0" fontId="37" fillId="0" borderId="0" xfId="12" applyFont="1" applyAlignment="1">
      <alignment horizontal="left" vertical="center" wrapText="1"/>
    </xf>
    <xf numFmtId="0" fontId="34" fillId="0" borderId="0" xfId="12" applyFont="1" applyAlignment="1">
      <alignment horizontal="left" vertical="center" wrapText="1"/>
    </xf>
    <xf numFmtId="0" fontId="34" fillId="0" borderId="0" xfId="12" applyFont="1" applyFill="1" applyAlignment="1">
      <alignment horizontal="left" vertical="center" wrapText="1"/>
    </xf>
    <xf numFmtId="0" fontId="10" fillId="4" borderId="0" xfId="7" applyFill="1"/>
    <xf numFmtId="0" fontId="19" fillId="0" borderId="0" xfId="12" applyFont="1" applyBorder="1" applyAlignment="1">
      <alignment horizontal="left" vertical="top"/>
    </xf>
    <xf numFmtId="169" fontId="14" fillId="2" borderId="0" xfId="12" applyNumberFormat="1" applyFont="1" applyFill="1" applyBorder="1" applyAlignment="1" applyProtection="1">
      <alignment horizontal="left" vertical="center"/>
      <protection locked="0"/>
    </xf>
    <xf numFmtId="169" fontId="12" fillId="0" borderId="0" xfId="12" applyNumberFormat="1" applyFont="1" applyFill="1" applyBorder="1" applyAlignment="1" applyProtection="1">
      <alignment horizontal="left" vertical="center"/>
      <protection locked="0"/>
    </xf>
    <xf numFmtId="0" fontId="12" fillId="0" borderId="25" xfId="12" applyFont="1" applyBorder="1" applyAlignment="1" applyProtection="1">
      <alignment horizontal="left"/>
      <protection locked="0"/>
    </xf>
    <xf numFmtId="165" fontId="12" fillId="0" borderId="27" xfId="12" applyNumberFormat="1" applyFont="1" applyFill="1" applyBorder="1" applyProtection="1">
      <protection locked="0"/>
    </xf>
    <xf numFmtId="165" fontId="18" fillId="0" borderId="1" xfId="26" applyNumberFormat="1" applyFont="1" applyFill="1" applyBorder="1"/>
    <xf numFmtId="165" fontId="18" fillId="0" borderId="1" xfId="26" applyNumberFormat="1" applyFill="1" applyBorder="1"/>
    <xf numFmtId="0" fontId="18" fillId="0" borderId="0" xfId="26"/>
    <xf numFmtId="0" fontId="39" fillId="5" borderId="36" xfId="26" applyFont="1" applyFill="1" applyBorder="1" applyAlignment="1">
      <alignment horizontal="center" vertical="center" wrapText="1"/>
    </xf>
    <xf numFmtId="0" fontId="14" fillId="0" borderId="1" xfId="26" applyNumberFormat="1" applyFont="1" applyFill="1" applyBorder="1" applyAlignment="1" applyProtection="1">
      <protection locked="0"/>
    </xf>
    <xf numFmtId="0" fontId="13" fillId="0" borderId="0" xfId="26" applyFont="1" applyAlignment="1">
      <alignment horizontal="center" vertical="center" wrapText="1"/>
    </xf>
    <xf numFmtId="0" fontId="13" fillId="0" borderId="0" xfId="26" applyFont="1" applyAlignment="1">
      <alignment horizontal="left" vertical="center"/>
    </xf>
    <xf numFmtId="0" fontId="19" fillId="0" borderId="0" xfId="12" applyFont="1" applyBorder="1" applyAlignment="1">
      <alignment vertical="top"/>
    </xf>
    <xf numFmtId="0" fontId="18" fillId="0" borderId="0" xfId="26"/>
    <xf numFmtId="3" fontId="14" fillId="0" borderId="0" xfId="11" applyNumberFormat="1" applyFont="1"/>
    <xf numFmtId="0" fontId="14" fillId="0" borderId="28" xfId="11" applyNumberFormat="1" applyFont="1" applyBorder="1" applyAlignment="1">
      <alignment horizontal="right"/>
    </xf>
    <xf numFmtId="167" fontId="14" fillId="0" borderId="24" xfId="11" applyNumberFormat="1" applyFont="1" applyBorder="1"/>
    <xf numFmtId="0" fontId="14" fillId="0" borderId="35" xfId="11" applyNumberFormat="1" applyFont="1" applyFill="1" applyBorder="1" applyAlignment="1">
      <alignment horizontal="right"/>
    </xf>
    <xf numFmtId="167" fontId="14" fillId="0" borderId="26" xfId="11" applyNumberFormat="1" applyFont="1" applyFill="1" applyBorder="1"/>
    <xf numFmtId="0" fontId="5" fillId="0" borderId="0" xfId="122"/>
    <xf numFmtId="3" fontId="14" fillId="0" borderId="0" xfId="35" applyNumberFormat="1" applyFont="1" applyFill="1" applyBorder="1" applyAlignment="1">
      <alignment horizontal="right"/>
    </xf>
    <xf numFmtId="3" fontId="12" fillId="0" borderId="0" xfId="35" applyNumberFormat="1" applyFont="1" applyFill="1" applyBorder="1" applyAlignment="1">
      <alignment horizontal="right"/>
    </xf>
    <xf numFmtId="3" fontId="14" fillId="0" borderId="24" xfId="35" applyNumberFormat="1" applyFont="1" applyFill="1" applyBorder="1" applyAlignment="1">
      <alignment horizontal="right"/>
    </xf>
    <xf numFmtId="3" fontId="12" fillId="0" borderId="24" xfId="35" applyNumberFormat="1" applyFont="1" applyFill="1" applyBorder="1" applyAlignment="1">
      <alignment horizontal="right"/>
    </xf>
    <xf numFmtId="3" fontId="14" fillId="0" borderId="0" xfId="122" applyNumberFormat="1" applyFont="1" applyFill="1" applyBorder="1" applyAlignment="1">
      <alignment horizontal="right"/>
    </xf>
    <xf numFmtId="3" fontId="12" fillId="0" borderId="0" xfId="122" applyNumberFormat="1" applyFont="1" applyFill="1" applyBorder="1" applyAlignment="1">
      <alignment horizontal="right"/>
    </xf>
    <xf numFmtId="0" fontId="9" fillId="0" borderId="0" xfId="123" applyFont="1"/>
    <xf numFmtId="0" fontId="20" fillId="0" borderId="0" xfId="0" applyFont="1"/>
    <xf numFmtId="167" fontId="14" fillId="0" borderId="0" xfId="11" applyNumberFormat="1" applyFont="1" applyAlignment="1"/>
    <xf numFmtId="171" fontId="10" fillId="0" borderId="0" xfId="7" applyNumberFormat="1"/>
    <xf numFmtId="0" fontId="68" fillId="0" borderId="0" xfId="144" applyAlignment="1">
      <alignment horizontal="left" vertical="center"/>
    </xf>
    <xf numFmtId="0" fontId="68" fillId="0" borderId="0" xfId="144" applyFill="1" applyBorder="1" applyAlignment="1">
      <alignment horizontal="left" vertical="center"/>
    </xf>
    <xf numFmtId="0" fontId="0" fillId="0" borderId="0" xfId="0" applyAlignment="1">
      <alignment horizontal="left" vertical="center"/>
    </xf>
    <xf numFmtId="0" fontId="68" fillId="0" borderId="0" xfId="144" applyFill="1" applyAlignment="1">
      <alignment horizontal="left" vertical="center"/>
    </xf>
    <xf numFmtId="0" fontId="68" fillId="0" borderId="0" xfId="144" applyBorder="1" applyAlignment="1">
      <alignment horizontal="left" vertical="center"/>
    </xf>
    <xf numFmtId="0" fontId="15" fillId="3" borderId="0" xfId="12" applyFont="1" applyFill="1" applyBorder="1" applyAlignment="1" applyProtection="1">
      <alignment horizontal="left"/>
      <protection locked="0"/>
    </xf>
    <xf numFmtId="165" fontId="15" fillId="3" borderId="48" xfId="35" applyNumberFormat="1" applyFont="1" applyFill="1" applyBorder="1" applyAlignment="1">
      <alignment horizontal="right" wrapText="1"/>
    </xf>
    <xf numFmtId="165" fontId="15" fillId="3" borderId="6" xfId="35" applyNumberFormat="1" applyFont="1" applyFill="1" applyBorder="1" applyAlignment="1">
      <alignment horizontal="right" wrapText="1"/>
    </xf>
    <xf numFmtId="165" fontId="15" fillId="3" borderId="48" xfId="122" applyNumberFormat="1" applyFont="1" applyFill="1" applyBorder="1" applyAlignment="1">
      <alignment horizontal="right" wrapText="1"/>
    </xf>
    <xf numFmtId="0" fontId="30" fillId="3" borderId="28" xfId="11" applyFont="1" applyFill="1" applyBorder="1"/>
    <xf numFmtId="0" fontId="30" fillId="3" borderId="24" xfId="11" applyFont="1" applyFill="1" applyBorder="1" applyAlignment="1">
      <alignment wrapText="1"/>
    </xf>
    <xf numFmtId="0" fontId="33" fillId="0" borderId="0" xfId="123" applyFont="1" applyBorder="1"/>
    <xf numFmtId="0" fontId="23" fillId="0" borderId="0" xfId="98" applyFill="1" applyProtection="1"/>
    <xf numFmtId="9" fontId="8" fillId="0" borderId="0" xfId="14" applyNumberFormat="1" applyFont="1" applyFill="1" applyBorder="1" applyAlignment="1"/>
    <xf numFmtId="9" fontId="33" fillId="0" borderId="0" xfId="14" applyFont="1" applyBorder="1"/>
    <xf numFmtId="0" fontId="70" fillId="0" borderId="22" xfId="123" applyFont="1" applyBorder="1"/>
    <xf numFmtId="0" fontId="33" fillId="0" borderId="53" xfId="123" applyFont="1" applyBorder="1"/>
    <xf numFmtId="9" fontId="8" fillId="0" borderId="0" xfId="14" applyFont="1" applyFill="1" applyBorder="1" applyAlignment="1"/>
    <xf numFmtId="0" fontId="33" fillId="0" borderId="53" xfId="123" applyFont="1" applyFill="1" applyBorder="1"/>
    <xf numFmtId="9" fontId="33" fillId="0" borderId="5" xfId="14" applyFont="1" applyBorder="1"/>
    <xf numFmtId="0" fontId="33" fillId="0" borderId="54" xfId="123" applyFont="1" applyBorder="1"/>
    <xf numFmtId="9" fontId="33" fillId="0" borderId="0" xfId="14" applyNumberFormat="1" applyFont="1" applyBorder="1"/>
    <xf numFmtId="0" fontId="33" fillId="0" borderId="23" xfId="123" applyFont="1" applyBorder="1"/>
    <xf numFmtId="9" fontId="33" fillId="0" borderId="5" xfId="14" applyNumberFormat="1" applyFont="1" applyBorder="1"/>
    <xf numFmtId="44" fontId="9" fillId="0" borderId="0" xfId="145" applyNumberFormat="1" applyFont="1" applyFill="1" applyBorder="1" applyAlignment="1"/>
    <xf numFmtId="44" fontId="8" fillId="0" borderId="0" xfId="145" applyNumberFormat="1" applyFill="1" applyBorder="1" applyAlignment="1"/>
    <xf numFmtId="9" fontId="9" fillId="0" borderId="0" xfId="14" applyFont="1" applyFill="1" applyBorder="1" applyAlignment="1"/>
    <xf numFmtId="166" fontId="0" fillId="0" borderId="0" xfId="0" applyNumberFormat="1" applyFill="1"/>
    <xf numFmtId="0" fontId="23" fillId="0" borderId="0" xfId="98" applyFill="1" applyAlignment="1" applyProtection="1">
      <alignment horizontal="left" indent="1"/>
    </xf>
    <xf numFmtId="180" fontId="8" fillId="0" borderId="1" xfId="4" applyNumberFormat="1" applyFont="1" applyFill="1" applyBorder="1" applyAlignment="1">
      <alignment horizontal="center"/>
    </xf>
    <xf numFmtId="3" fontId="22" fillId="3" borderId="1" xfId="13" applyNumberFormat="1" applyFont="1" applyFill="1" applyBorder="1" applyAlignment="1">
      <alignment horizontal="center" wrapText="1"/>
    </xf>
    <xf numFmtId="0" fontId="34" fillId="0" borderId="0" xfId="0" applyFont="1" applyFill="1" applyBorder="1" applyAlignment="1">
      <alignment horizontal="left" vertical="center" wrapText="1"/>
    </xf>
    <xf numFmtId="165" fontId="12" fillId="2" borderId="24" xfId="12" applyNumberFormat="1" applyFont="1" applyFill="1" applyBorder="1" applyAlignment="1" applyProtection="1">
      <alignment horizontal="right" vertical="center"/>
      <protection locked="0"/>
    </xf>
    <xf numFmtId="165" fontId="12" fillId="0" borderId="24" xfId="12" applyNumberFormat="1" applyFont="1" applyFill="1" applyBorder="1" applyAlignment="1" applyProtection="1">
      <alignment horizontal="right" vertical="center"/>
      <protection locked="0"/>
    </xf>
    <xf numFmtId="165" fontId="72" fillId="3" borderId="24" xfId="12" applyNumberFormat="1" applyFont="1" applyFill="1" applyBorder="1" applyAlignment="1" applyProtection="1">
      <alignment horizontal="right" vertical="center"/>
      <protection locked="0"/>
    </xf>
    <xf numFmtId="0" fontId="73" fillId="0" borderId="0" xfId="12" applyFont="1"/>
    <xf numFmtId="167" fontId="14" fillId="2" borderId="24" xfId="12" applyNumberFormat="1" applyFont="1" applyFill="1" applyBorder="1" applyAlignment="1" applyProtection="1">
      <alignment horizontal="right" vertical="center"/>
      <protection locked="0"/>
    </xf>
    <xf numFmtId="167" fontId="14" fillId="0" borderId="24" xfId="12" applyNumberFormat="1" applyFont="1" applyFill="1" applyBorder="1" applyAlignment="1" applyProtection="1">
      <alignment horizontal="right" vertical="center"/>
      <protection locked="0"/>
    </xf>
    <xf numFmtId="167" fontId="8" fillId="0" borderId="24" xfId="12" applyNumberFormat="1" applyFont="1" applyFill="1" applyBorder="1" applyAlignment="1" applyProtection="1">
      <alignment horizontal="right" vertical="center" indent="2"/>
      <protection locked="0"/>
    </xf>
    <xf numFmtId="167" fontId="31" fillId="3" borderId="24" xfId="12" applyNumberFormat="1" applyFont="1" applyFill="1" applyBorder="1" applyAlignment="1" applyProtection="1">
      <alignment horizontal="right" vertical="center"/>
      <protection locked="0"/>
    </xf>
    <xf numFmtId="167" fontId="12" fillId="0" borderId="26" xfId="12" applyNumberFormat="1" applyFont="1" applyFill="1" applyBorder="1" applyProtection="1">
      <protection locked="0"/>
    </xf>
    <xf numFmtId="169" fontId="15" fillId="3" borderId="0" xfId="12" applyNumberFormat="1" applyFont="1" applyFill="1" applyBorder="1" applyAlignment="1" applyProtection="1">
      <alignment horizontal="center" vertical="center"/>
      <protection locked="0"/>
    </xf>
    <xf numFmtId="3" fontId="15" fillId="3" borderId="24" xfId="12" applyNumberFormat="1" applyFont="1" applyFill="1" applyBorder="1" applyAlignment="1">
      <alignment horizontal="center" vertical="center" wrapText="1"/>
    </xf>
    <xf numFmtId="3" fontId="15" fillId="3" borderId="0" xfId="12" applyNumberFormat="1" applyFont="1" applyFill="1" applyBorder="1" applyAlignment="1">
      <alignment horizontal="center" vertical="center" wrapText="1"/>
    </xf>
    <xf numFmtId="3" fontId="71" fillId="3" borderId="0" xfId="12" applyNumberFormat="1" applyFont="1" applyFill="1" applyBorder="1" applyAlignment="1">
      <alignment horizontal="center" vertical="center" wrapText="1"/>
    </xf>
    <xf numFmtId="0" fontId="14" fillId="0" borderId="0" xfId="12" applyFont="1" applyAlignment="1">
      <alignment horizontal="center" vertical="center"/>
    </xf>
    <xf numFmtId="169" fontId="20" fillId="0" borderId="30" xfId="13" applyNumberFormat="1" applyFont="1" applyFill="1" applyBorder="1" applyAlignment="1" applyProtection="1">
      <alignment vertical="center"/>
      <protection locked="0"/>
    </xf>
    <xf numFmtId="170" fontId="20" fillId="0" borderId="0" xfId="4" applyNumberFormat="1" applyFont="1" applyFill="1" applyBorder="1" applyAlignment="1">
      <alignment horizontal="center" vertical="center"/>
    </xf>
    <xf numFmtId="170" fontId="20" fillId="0" borderId="57" xfId="4" applyNumberFormat="1" applyFont="1" applyFill="1" applyBorder="1" applyAlignment="1">
      <alignment horizontal="center" vertical="center"/>
    </xf>
    <xf numFmtId="169" fontId="9" fillId="0" borderId="31" xfId="13" applyNumberFormat="1" applyFont="1" applyBorder="1" applyAlignment="1" applyProtection="1">
      <alignment vertical="center"/>
      <protection locked="0"/>
    </xf>
    <xf numFmtId="170" fontId="9" fillId="0" borderId="20" xfId="4" applyNumberFormat="1" applyFont="1" applyFill="1" applyBorder="1" applyAlignment="1">
      <alignment horizontal="center" vertical="center"/>
    </xf>
    <xf numFmtId="170" fontId="9" fillId="0" borderId="58" xfId="4" applyNumberFormat="1" applyFont="1" applyFill="1" applyBorder="1" applyAlignment="1">
      <alignment horizontal="center" vertical="center"/>
    </xf>
    <xf numFmtId="169" fontId="20" fillId="0" borderId="30" xfId="13" applyNumberFormat="1" applyFont="1" applyBorder="1" applyAlignment="1" applyProtection="1">
      <alignment vertical="center"/>
      <protection locked="0"/>
    </xf>
    <xf numFmtId="170" fontId="20" fillId="0" borderId="4" xfId="4" applyNumberFormat="1" applyFont="1" applyBorder="1" applyAlignment="1">
      <alignment horizontal="center" vertical="center"/>
    </xf>
    <xf numFmtId="170" fontId="20" fillId="0" borderId="59" xfId="4" applyNumberFormat="1" applyFont="1" applyBorder="1" applyAlignment="1">
      <alignment horizontal="center" vertical="center"/>
    </xf>
    <xf numFmtId="170" fontId="20" fillId="0" borderId="55" xfId="4" applyNumberFormat="1" applyFont="1" applyFill="1" applyBorder="1" applyAlignment="1">
      <alignment horizontal="center" vertical="center"/>
    </xf>
    <xf numFmtId="170" fontId="20" fillId="0" borderId="4" xfId="4" applyNumberFormat="1" applyFont="1" applyFill="1" applyBorder="1" applyAlignment="1">
      <alignment horizontal="center" vertical="center"/>
    </xf>
    <xf numFmtId="169" fontId="20" fillId="0" borderId="32" xfId="13" applyNumberFormat="1" applyFont="1" applyBorder="1" applyAlignment="1" applyProtection="1">
      <alignment vertical="center"/>
      <protection locked="0"/>
    </xf>
    <xf numFmtId="170" fontId="20" fillId="0" borderId="33" xfId="4" applyNumberFormat="1" applyFont="1" applyBorder="1" applyAlignment="1">
      <alignment horizontal="center" vertical="center"/>
    </xf>
    <xf numFmtId="170" fontId="20" fillId="0" borderId="60" xfId="4" applyNumberFormat="1" applyFont="1" applyBorder="1" applyAlignment="1">
      <alignment horizontal="center" vertical="center"/>
    </xf>
    <xf numFmtId="170" fontId="20" fillId="0" borderId="56" xfId="4" applyNumberFormat="1" applyFont="1" applyFill="1" applyBorder="1" applyAlignment="1">
      <alignment horizontal="center" vertical="center"/>
    </xf>
    <xf numFmtId="170" fontId="20" fillId="0" borderId="33" xfId="4" applyNumberFormat="1" applyFont="1" applyFill="1" applyBorder="1" applyAlignment="1">
      <alignment horizontal="center" vertical="center"/>
    </xf>
    <xf numFmtId="0" fontId="12" fillId="0" borderId="0" xfId="12" applyFont="1" applyAlignment="1">
      <alignment horizontal="center"/>
    </xf>
    <xf numFmtId="0" fontId="0" fillId="0" borderId="0" xfId="0" applyAlignment="1">
      <alignment horizontal="center"/>
    </xf>
    <xf numFmtId="165" fontId="14" fillId="2" borderId="24" xfId="12" applyNumberFormat="1" applyFont="1" applyFill="1" applyBorder="1" applyAlignment="1" applyProtection="1">
      <alignment horizontal="center" vertical="center"/>
      <protection locked="0"/>
    </xf>
    <xf numFmtId="165" fontId="14" fillId="0" borderId="24" xfId="12" applyNumberFormat="1" applyFont="1" applyFill="1" applyBorder="1" applyAlignment="1" applyProtection="1">
      <alignment horizontal="center" vertical="center"/>
      <protection locked="0"/>
    </xf>
    <xf numFmtId="165" fontId="31" fillId="3" borderId="24" xfId="12" applyNumberFormat="1" applyFont="1" applyFill="1" applyBorder="1" applyAlignment="1" applyProtection="1">
      <alignment horizontal="center" vertical="center"/>
      <protection locked="0"/>
    </xf>
    <xf numFmtId="165" fontId="12" fillId="0" borderId="27" xfId="12" applyNumberFormat="1" applyFont="1" applyFill="1" applyBorder="1" applyAlignment="1" applyProtection="1">
      <alignment horizontal="center"/>
      <protection locked="0"/>
    </xf>
    <xf numFmtId="0" fontId="18" fillId="0" borderId="24" xfId="12" applyBorder="1" applyAlignment="1">
      <alignment horizontal="center"/>
    </xf>
    <xf numFmtId="0" fontId="18" fillId="0" borderId="0" xfId="12" applyBorder="1" applyAlignment="1">
      <alignment horizontal="center"/>
    </xf>
    <xf numFmtId="0" fontId="18" fillId="0" borderId="0" xfId="12" applyAlignment="1">
      <alignment horizontal="center"/>
    </xf>
    <xf numFmtId="0" fontId="34" fillId="0" borderId="0" xfId="0" applyFont="1" applyFill="1" applyBorder="1" applyAlignment="1">
      <alignment vertical="center" wrapText="1"/>
    </xf>
    <xf numFmtId="3" fontId="30" fillId="3" borderId="49" xfId="35" applyNumberFormat="1" applyFont="1" applyFill="1" applyBorder="1" applyAlignment="1">
      <alignment horizontal="right" vertical="center"/>
    </xf>
    <xf numFmtId="165" fontId="14" fillId="0" borderId="0" xfId="35" applyNumberFormat="1" applyFont="1" applyFill="1" applyBorder="1" applyAlignment="1">
      <alignment vertical="center"/>
    </xf>
    <xf numFmtId="165" fontId="12" fillId="0" borderId="0" xfId="35" applyNumberFormat="1" applyFont="1" applyFill="1" applyBorder="1" applyAlignment="1">
      <alignment vertical="center"/>
    </xf>
    <xf numFmtId="167" fontId="12" fillId="0" borderId="24" xfId="35" applyNumberFormat="1" applyFont="1" applyFill="1" applyBorder="1" applyAlignment="1">
      <alignment horizontal="center"/>
    </xf>
    <xf numFmtId="3" fontId="12" fillId="0" borderId="0" xfId="35" applyNumberFormat="1" applyFont="1" applyFill="1" applyBorder="1" applyAlignment="1">
      <alignment horizontal="center"/>
    </xf>
    <xf numFmtId="0" fontId="8" fillId="0" borderId="0" xfId="35" applyAlignment="1">
      <alignment horizontal="center"/>
    </xf>
    <xf numFmtId="0" fontId="5" fillId="0" borderId="0" xfId="122" applyAlignment="1">
      <alignment horizontal="center"/>
    </xf>
    <xf numFmtId="3" fontId="12" fillId="0" borderId="24" xfId="35" applyNumberFormat="1" applyFont="1" applyFill="1" applyBorder="1" applyAlignment="1">
      <alignment horizontal="center"/>
    </xf>
    <xf numFmtId="167" fontId="12" fillId="0" borderId="0" xfId="35" applyNumberFormat="1" applyFont="1" applyFill="1" applyBorder="1" applyAlignment="1">
      <alignment horizontal="center"/>
    </xf>
    <xf numFmtId="167" fontId="12" fillId="0" borderId="0" xfId="122" applyNumberFormat="1" applyFont="1" applyFill="1" applyBorder="1" applyAlignment="1">
      <alignment horizontal="center"/>
    </xf>
    <xf numFmtId="165" fontId="14" fillId="0" borderId="0" xfId="41" applyNumberFormat="1" applyFont="1" applyFill="1" applyBorder="1" applyAlignment="1" applyProtection="1">
      <alignment horizontal="center" vertical="center"/>
      <protection locked="0"/>
    </xf>
    <xf numFmtId="0" fontId="76" fillId="0" borderId="0" xfId="7" applyFont="1" applyFill="1" applyBorder="1" applyProtection="1">
      <protection locked="0"/>
    </xf>
    <xf numFmtId="0" fontId="19" fillId="0" borderId="0" xfId="0" applyFont="1"/>
    <xf numFmtId="181" fontId="0" fillId="0" borderId="0" xfId="0" applyNumberFormat="1" applyFill="1" applyBorder="1"/>
    <xf numFmtId="165" fontId="9" fillId="0" borderId="0" xfId="0" applyNumberFormat="1" applyFont="1" applyBorder="1" applyAlignment="1">
      <alignment vertical="top" wrapText="1"/>
    </xf>
    <xf numFmtId="0" fontId="8" fillId="0" borderId="0" xfId="28"/>
    <xf numFmtId="0" fontId="8" fillId="0" borderId="0" xfId="28" applyAlignment="1">
      <alignment vertical="center"/>
    </xf>
    <xf numFmtId="0" fontId="8" fillId="0" borderId="0" xfId="28" applyFont="1"/>
    <xf numFmtId="9" fontId="33" fillId="0" borderId="0" xfId="123" applyNumberFormat="1" applyFont="1" applyBorder="1"/>
    <xf numFmtId="49" fontId="14" fillId="0" borderId="1" xfId="26" applyNumberFormat="1" applyFont="1" applyFill="1" applyBorder="1" applyAlignment="1" applyProtection="1">
      <alignment horizontal="center"/>
      <protection locked="0"/>
    </xf>
    <xf numFmtId="49" fontId="0" fillId="0" borderId="1" xfId="0" applyNumberFormat="1" applyBorder="1"/>
    <xf numFmtId="0" fontId="8" fillId="0" borderId="0" xfId="0" applyFont="1" applyAlignment="1">
      <alignment vertical="top" wrapText="1"/>
    </xf>
    <xf numFmtId="0" fontId="8" fillId="0" borderId="0" xfId="7" applyFont="1"/>
    <xf numFmtId="166" fontId="33" fillId="0" borderId="0" xfId="123" applyNumberFormat="1" applyFont="1" applyFill="1" applyBorder="1"/>
    <xf numFmtId="165" fontId="0" fillId="0" borderId="0" xfId="0" applyNumberFormat="1" applyFill="1" applyBorder="1"/>
    <xf numFmtId="165" fontId="10" fillId="0" borderId="0" xfId="7" applyNumberFormat="1" applyFont="1" applyAlignment="1">
      <alignment vertical="center"/>
    </xf>
    <xf numFmtId="0" fontId="70" fillId="0" borderId="0" xfId="0" applyFont="1"/>
    <xf numFmtId="0" fontId="33" fillId="0" borderId="0" xfId="0" applyFont="1"/>
    <xf numFmtId="166" fontId="33" fillId="0" borderId="0" xfId="0" applyNumberFormat="1" applyFont="1"/>
    <xf numFmtId="0" fontId="81" fillId="0" borderId="0" xfId="0" applyFont="1"/>
    <xf numFmtId="0" fontId="80" fillId="0" borderId="1" xfId="0" applyFont="1" applyBorder="1"/>
    <xf numFmtId="182" fontId="82" fillId="0" borderId="1" xfId="0" applyNumberFormat="1" applyFont="1" applyBorder="1" applyAlignment="1">
      <alignment vertical="top" wrapText="1"/>
    </xf>
    <xf numFmtId="9" fontId="82" fillId="0" borderId="1" xfId="0" applyNumberFormat="1" applyFont="1" applyBorder="1" applyAlignment="1">
      <alignment vertical="top" wrapText="1"/>
    </xf>
    <xf numFmtId="0" fontId="0" fillId="0" borderId="0" xfId="0" applyAlignment="1"/>
    <xf numFmtId="0" fontId="33" fillId="0" borderId="0" xfId="0" applyFont="1" applyFill="1" applyBorder="1"/>
    <xf numFmtId="0" fontId="73" fillId="0" borderId="0" xfId="26" applyFont="1"/>
    <xf numFmtId="0" fontId="20" fillId="0" borderId="0" xfId="26" applyFont="1" applyAlignment="1"/>
    <xf numFmtId="0" fontId="20" fillId="0" borderId="0" xfId="7" applyFont="1"/>
    <xf numFmtId="169" fontId="12" fillId="0" borderId="0" xfId="7" applyNumberFormat="1" applyFont="1" applyFill="1" applyBorder="1" applyProtection="1">
      <protection locked="0"/>
    </xf>
    <xf numFmtId="0" fontId="12" fillId="0" borderId="0" xfId="7" applyFont="1" applyFill="1" applyBorder="1" applyAlignment="1">
      <alignment wrapText="1"/>
    </xf>
    <xf numFmtId="0" fontId="79" fillId="0" borderId="0" xfId="0" applyFont="1"/>
    <xf numFmtId="0" fontId="8" fillId="0" borderId="0" xfId="0" applyFont="1" applyAlignment="1">
      <alignment horizontal="right"/>
    </xf>
    <xf numFmtId="0" fontId="0" fillId="0" borderId="0" xfId="0" applyBorder="1"/>
    <xf numFmtId="0" fontId="0" fillId="0" borderId="0" xfId="0" applyBorder="1" applyAlignment="1"/>
    <xf numFmtId="165" fontId="9" fillId="0" borderId="1" xfId="0" applyNumberFormat="1" applyFont="1" applyBorder="1"/>
    <xf numFmtId="0" fontId="33" fillId="0" borderId="0" xfId="0" applyFont="1" applyFill="1" applyBorder="1" applyAlignment="1">
      <alignment vertical="center"/>
    </xf>
    <xf numFmtId="0" fontId="69" fillId="3" borderId="10" xfId="28" applyFont="1" applyFill="1" applyBorder="1" applyAlignment="1">
      <alignment horizontal="center" vertical="center" wrapText="1"/>
    </xf>
    <xf numFmtId="0" fontId="0" fillId="0" borderId="0" xfId="0" applyFill="1"/>
    <xf numFmtId="9" fontId="82" fillId="0" borderId="0" xfId="0" applyNumberFormat="1" applyFont="1" applyFill="1" applyBorder="1" applyAlignment="1">
      <alignment vertical="top" wrapText="1"/>
    </xf>
    <xf numFmtId="0" fontId="33" fillId="0" borderId="0" xfId="0" applyFont="1" applyFill="1"/>
    <xf numFmtId="0" fontId="0" fillId="0" borderId="0" xfId="0" applyFill="1" applyAlignment="1"/>
    <xf numFmtId="0" fontId="79" fillId="0" borderId="0" xfId="0" applyFont="1" applyFill="1" applyBorder="1" applyAlignment="1">
      <alignment horizontal="left" vertical="center"/>
    </xf>
    <xf numFmtId="0" fontId="0" fillId="0" borderId="0" xfId="0" applyBorder="1" applyAlignment="1">
      <alignment wrapText="1"/>
    </xf>
    <xf numFmtId="0" fontId="0" fillId="0" borderId="0" xfId="0" applyAlignment="1">
      <alignment wrapText="1"/>
    </xf>
    <xf numFmtId="182" fontId="86" fillId="0" borderId="1" xfId="0" applyNumberFormat="1" applyFont="1" applyBorder="1" applyAlignment="1">
      <alignment vertical="top" wrapText="1"/>
    </xf>
    <xf numFmtId="9" fontId="86" fillId="0" borderId="1" xfId="0" applyNumberFormat="1" applyFont="1" applyBorder="1" applyAlignment="1">
      <alignment vertical="top" wrapText="1"/>
    </xf>
    <xf numFmtId="183" fontId="10" fillId="0" borderId="0" xfId="4" applyNumberFormat="1" applyFont="1" applyFill="1" applyBorder="1" applyAlignment="1">
      <alignment horizontal="center" vertical="center"/>
    </xf>
    <xf numFmtId="184" fontId="0" fillId="0" borderId="0" xfId="0" applyNumberFormat="1" applyFill="1" applyBorder="1"/>
    <xf numFmtId="0" fontId="18" fillId="0" borderId="0" xfId="26" applyBorder="1" applyAlignment="1"/>
    <xf numFmtId="0" fontId="14" fillId="0" borderId="0" xfId="26" applyFont="1" applyFill="1" applyAlignment="1">
      <alignment horizontal="center"/>
    </xf>
    <xf numFmtId="0" fontId="14" fillId="0" borderId="0" xfId="0" applyFont="1" applyBorder="1" applyAlignment="1" applyProtection="1">
      <alignment vertical="center"/>
      <protection locked="0"/>
    </xf>
    <xf numFmtId="0" fontId="18" fillId="0" borderId="0" xfId="26" applyAlignment="1"/>
    <xf numFmtId="0" fontId="14" fillId="0" borderId="0" xfId="26" applyFont="1" applyBorder="1" applyAlignment="1">
      <alignment horizontal="left" wrapText="1"/>
    </xf>
    <xf numFmtId="169" fontId="8" fillId="0" borderId="1" xfId="13" applyNumberFormat="1" applyFont="1" applyBorder="1" applyProtection="1">
      <protection locked="0"/>
    </xf>
    <xf numFmtId="10" fontId="33" fillId="0" borderId="0" xfId="123" applyNumberFormat="1" applyFont="1" applyBorder="1"/>
    <xf numFmtId="169" fontId="8" fillId="0" borderId="30" xfId="13" applyNumberFormat="1" applyFont="1" applyFill="1" applyBorder="1" applyAlignment="1" applyProtection="1">
      <alignment vertical="center"/>
      <protection locked="0"/>
    </xf>
    <xf numFmtId="166" fontId="14" fillId="0" borderId="0" xfId="41" applyNumberFormat="1" applyFont="1" applyFill="1" applyBorder="1" applyAlignment="1">
      <alignment vertical="center"/>
    </xf>
    <xf numFmtId="0" fontId="79" fillId="0" borderId="0" xfId="0" applyFont="1" applyFill="1" applyBorder="1" applyAlignment="1">
      <alignment horizontal="left" vertical="center" wrapText="1"/>
    </xf>
    <xf numFmtId="167" fontId="14" fillId="0" borderId="0" xfId="12" applyNumberFormat="1" applyFont="1"/>
    <xf numFmtId="0" fontId="69" fillId="3" borderId="9" xfId="28" applyFont="1" applyFill="1" applyBorder="1" applyAlignment="1">
      <alignment horizontal="center" vertical="center" wrapText="1"/>
    </xf>
    <xf numFmtId="0" fontId="69" fillId="3" borderId="65" xfId="28" applyFont="1" applyFill="1" applyBorder="1" applyAlignment="1">
      <alignment horizontal="center" vertical="center" wrapText="1"/>
    </xf>
    <xf numFmtId="0" fontId="69" fillId="0" borderId="0" xfId="28" applyFont="1" applyFill="1" applyBorder="1" applyAlignment="1">
      <alignment horizontal="center" vertical="center" wrapText="1"/>
    </xf>
    <xf numFmtId="0" fontId="69" fillId="3" borderId="66" xfId="28" applyFont="1" applyFill="1" applyBorder="1" applyAlignment="1">
      <alignment horizontal="center" vertical="center" wrapText="1"/>
    </xf>
    <xf numFmtId="0" fontId="0" fillId="0" borderId="0" xfId="0" applyBorder="1" applyAlignment="1">
      <alignment horizontal="left" wrapText="1"/>
    </xf>
    <xf numFmtId="170" fontId="8" fillId="0" borderId="0" xfId="4" applyNumberFormat="1" applyFont="1" applyFill="1" applyBorder="1" applyAlignment="1">
      <alignment horizontal="center" vertical="center"/>
    </xf>
    <xf numFmtId="0" fontId="69" fillId="3" borderId="14" xfId="28" applyFont="1" applyFill="1" applyBorder="1"/>
    <xf numFmtId="0" fontId="69" fillId="3" borderId="9" xfId="28" applyFont="1" applyFill="1" applyBorder="1"/>
    <xf numFmtId="0" fontId="69" fillId="3" borderId="9" xfId="28" applyFont="1" applyFill="1" applyBorder="1" applyAlignment="1">
      <alignment horizontal="left" vertical="center" wrapText="1"/>
    </xf>
    <xf numFmtId="0" fontId="69" fillId="3" borderId="10" xfId="28" applyFont="1" applyFill="1" applyBorder="1" applyAlignment="1">
      <alignment horizontal="left" vertical="center" wrapText="1"/>
    </xf>
    <xf numFmtId="0" fontId="8" fillId="0" borderId="15" xfId="28" applyBorder="1"/>
    <xf numFmtId="0" fontId="9" fillId="0" borderId="22" xfId="28" applyFont="1" applyBorder="1"/>
    <xf numFmtId="165" fontId="9" fillId="4" borderId="63" xfId="28" applyNumberFormat="1" applyFont="1" applyFill="1" applyBorder="1"/>
    <xf numFmtId="165" fontId="9" fillId="0" borderId="63" xfId="28" applyNumberFormat="1" applyFont="1" applyBorder="1"/>
    <xf numFmtId="165" fontId="9" fillId="0" borderId="13" xfId="28" applyNumberFormat="1" applyFont="1" applyBorder="1"/>
    <xf numFmtId="0" fontId="8" fillId="0" borderId="16" xfId="28" applyBorder="1"/>
    <xf numFmtId="0" fontId="9" fillId="0" borderId="23" xfId="28" applyFont="1" applyBorder="1"/>
    <xf numFmtId="165" fontId="9" fillId="0" borderId="5" xfId="28" applyNumberFormat="1" applyFont="1" applyBorder="1"/>
    <xf numFmtId="165" fontId="9" fillId="0" borderId="11" xfId="28" applyNumberFormat="1" applyFont="1" applyBorder="1"/>
    <xf numFmtId="165" fontId="8" fillId="0" borderId="0" xfId="28" applyNumberFormat="1"/>
    <xf numFmtId="0" fontId="8" fillId="0" borderId="17" xfId="28" applyBorder="1"/>
    <xf numFmtId="0" fontId="9" fillId="0" borderId="0" xfId="28" applyFont="1" applyBorder="1"/>
    <xf numFmtId="165" fontId="8" fillId="0" borderId="0" xfId="0" applyNumberFormat="1" applyFont="1" applyBorder="1" applyAlignment="1">
      <alignment vertical="top" wrapText="1"/>
    </xf>
    <xf numFmtId="165" fontId="9" fillId="0" borderId="0" xfId="28" applyNumberFormat="1" applyFont="1" applyBorder="1"/>
    <xf numFmtId="165" fontId="8" fillId="0" borderId="68" xfId="0" applyNumberFormat="1" applyFont="1" applyBorder="1" applyAlignment="1">
      <alignment vertical="top" wrapText="1"/>
    </xf>
    <xf numFmtId="0" fontId="8" fillId="0" borderId="18" xfId="28" applyBorder="1"/>
    <xf numFmtId="0" fontId="9" fillId="0" borderId="5" xfId="28" applyFont="1" applyBorder="1"/>
    <xf numFmtId="165" fontId="8" fillId="0" borderId="5" xfId="0" applyNumberFormat="1" applyFont="1" applyBorder="1" applyAlignment="1">
      <alignment vertical="top" wrapText="1"/>
    </xf>
    <xf numFmtId="165" fontId="8" fillId="0" borderId="11" xfId="0" applyNumberFormat="1" applyFont="1" applyBorder="1" applyAlignment="1">
      <alignment vertical="top" wrapText="1"/>
    </xf>
    <xf numFmtId="0" fontId="8" fillId="0" borderId="0" xfId="28" applyBorder="1"/>
    <xf numFmtId="165" fontId="8" fillId="0" borderId="0" xfId="28" applyNumberFormat="1" applyBorder="1"/>
    <xf numFmtId="0" fontId="8" fillId="0" borderId="13" xfId="28" applyBorder="1"/>
    <xf numFmtId="0" fontId="8" fillId="4" borderId="64" xfId="28" applyFont="1" applyFill="1" applyBorder="1"/>
    <xf numFmtId="165" fontId="9" fillId="4" borderId="64" xfId="28" applyNumberFormat="1" applyFont="1" applyFill="1" applyBorder="1"/>
    <xf numFmtId="0" fontId="8" fillId="4" borderId="0" xfId="28" applyFill="1" applyBorder="1"/>
    <xf numFmtId="165" fontId="8" fillId="4" borderId="11" xfId="28" applyNumberFormat="1" applyFill="1" applyBorder="1"/>
    <xf numFmtId="165" fontId="9" fillId="4" borderId="0" xfId="28" applyNumberFormat="1" applyFont="1" applyFill="1" applyBorder="1"/>
    <xf numFmtId="165" fontId="8" fillId="4" borderId="0" xfId="28" applyNumberFormat="1" applyFill="1" applyBorder="1"/>
    <xf numFmtId="0" fontId="8" fillId="4" borderId="0" xfId="28" applyFont="1" applyFill="1" applyBorder="1"/>
    <xf numFmtId="0" fontId="8" fillId="4" borderId="5" xfId="28" applyFill="1" applyBorder="1"/>
    <xf numFmtId="165" fontId="9" fillId="4" borderId="5" xfId="28" applyNumberFormat="1" applyFont="1" applyFill="1" applyBorder="1"/>
    <xf numFmtId="0" fontId="9" fillId="4" borderId="18" xfId="28" applyFont="1" applyFill="1" applyBorder="1"/>
    <xf numFmtId="165" fontId="8" fillId="4" borderId="5" xfId="28" applyNumberFormat="1" applyFill="1" applyBorder="1"/>
    <xf numFmtId="165" fontId="8" fillId="4" borderId="13" xfId="28" applyNumberFormat="1" applyFill="1" applyBorder="1"/>
    <xf numFmtId="0" fontId="8" fillId="0" borderId="19" xfId="28" applyBorder="1"/>
    <xf numFmtId="0" fontId="9" fillId="0" borderId="12" xfId="28" applyFont="1" applyBorder="1"/>
    <xf numFmtId="165" fontId="8" fillId="0" borderId="12" xfId="0" applyNumberFormat="1" applyFont="1" applyBorder="1" applyAlignment="1">
      <alignment vertical="top" wrapText="1"/>
    </xf>
    <xf numFmtId="165" fontId="9" fillId="0" borderId="12" xfId="28" applyNumberFormat="1" applyFont="1" applyBorder="1"/>
    <xf numFmtId="0" fontId="14" fillId="0" borderId="0" xfId="28" applyFont="1" applyAlignment="1">
      <alignment horizontal="left"/>
    </xf>
    <xf numFmtId="0" fontId="12" fillId="0" borderId="0" xfId="28" applyFont="1" applyAlignment="1">
      <alignment horizontal="left"/>
    </xf>
    <xf numFmtId="0" fontId="20" fillId="0" borderId="0" xfId="28" applyFont="1"/>
    <xf numFmtId="165" fontId="8" fillId="0" borderId="1" xfId="28" applyNumberFormat="1" applyBorder="1"/>
    <xf numFmtId="0" fontId="8" fillId="0" borderId="0" xfId="28" applyFill="1"/>
    <xf numFmtId="165" fontId="8" fillId="0" borderId="0" xfId="28" applyNumberFormat="1" applyFill="1"/>
    <xf numFmtId="171" fontId="8" fillId="0" borderId="0" xfId="28" applyNumberFormat="1"/>
    <xf numFmtId="173" fontId="8" fillId="0" borderId="0" xfId="28" applyNumberFormat="1"/>
    <xf numFmtId="185" fontId="8" fillId="0" borderId="0" xfId="28" applyNumberFormat="1"/>
    <xf numFmtId="0" fontId="14" fillId="0" borderId="0" xfId="28" applyFont="1" applyFill="1" applyBorder="1" applyProtection="1">
      <protection locked="0"/>
    </xf>
    <xf numFmtId="0" fontId="14" fillId="0" borderId="0" xfId="28" applyFont="1"/>
    <xf numFmtId="169" fontId="20" fillId="0" borderId="0" xfId="13" applyNumberFormat="1" applyFont="1" applyBorder="1" applyAlignment="1" applyProtection="1">
      <alignment vertical="center"/>
      <protection locked="0"/>
    </xf>
    <xf numFmtId="170" fontId="20" fillId="0" borderId="0" xfId="4" applyNumberFormat="1" applyFont="1" applyBorder="1" applyAlignment="1">
      <alignment horizontal="center" vertical="center"/>
    </xf>
    <xf numFmtId="165" fontId="20" fillId="0" borderId="0" xfId="4" applyNumberFormat="1" applyFont="1" applyFill="1" applyBorder="1" applyAlignment="1">
      <alignment horizontal="center" vertical="center"/>
    </xf>
    <xf numFmtId="169" fontId="22" fillId="3" borderId="64" xfId="13" applyNumberFormat="1" applyFont="1" applyFill="1" applyBorder="1" applyAlignment="1" applyProtection="1">
      <alignment horizontal="center"/>
      <protection locked="0"/>
    </xf>
    <xf numFmtId="171" fontId="0" fillId="0" borderId="0" xfId="0" applyNumberFormat="1" applyFill="1" applyBorder="1" applyAlignment="1">
      <alignment horizontal="center"/>
    </xf>
    <xf numFmtId="0" fontId="14" fillId="0" borderId="0" xfId="26" applyNumberFormat="1" applyFont="1" applyFill="1" applyBorder="1" applyAlignment="1" applyProtection="1">
      <alignment horizontal="left" wrapText="1"/>
      <protection locked="0"/>
    </xf>
    <xf numFmtId="0" fontId="9" fillId="0" borderId="67" xfId="0" applyFont="1" applyBorder="1" applyAlignment="1">
      <alignment horizontal="center" vertical="top" wrapText="1"/>
    </xf>
    <xf numFmtId="0" fontId="39" fillId="30" borderId="36" xfId="26" applyFont="1" applyFill="1" applyBorder="1" applyAlignment="1">
      <alignment horizontal="center" vertical="center" wrapText="1"/>
    </xf>
    <xf numFmtId="0" fontId="14" fillId="0" borderId="0" xfId="26" applyNumberFormat="1" applyFont="1" applyFill="1" applyBorder="1" applyAlignment="1" applyProtection="1">
      <alignment horizontal="left"/>
      <protection locked="0"/>
    </xf>
    <xf numFmtId="0" fontId="19" fillId="0" borderId="0" xfId="12" applyFont="1" applyBorder="1" applyAlignment="1">
      <alignment horizontal="left" vertical="center" wrapText="1"/>
    </xf>
    <xf numFmtId="0" fontId="79" fillId="0" borderId="0" xfId="0" applyFont="1" applyFill="1" applyBorder="1" applyAlignment="1">
      <alignment horizontal="left" vertical="center" wrapText="1"/>
    </xf>
    <xf numFmtId="0" fontId="14" fillId="0" borderId="0" xfId="11" applyNumberFormat="1" applyFont="1" applyFill="1" applyBorder="1" applyAlignment="1">
      <alignment horizontal="right"/>
    </xf>
    <xf numFmtId="0" fontId="14" fillId="0" borderId="0" xfId="26" applyFont="1"/>
    <xf numFmtId="0" fontId="13" fillId="0" borderId="0" xfId="26" applyFont="1" applyAlignment="1"/>
    <xf numFmtId="0" fontId="8" fillId="0" borderId="0" xfId="32" applyFont="1" applyFill="1" applyBorder="1" applyProtection="1">
      <protection locked="0"/>
    </xf>
    <xf numFmtId="165" fontId="8" fillId="0" borderId="24" xfId="32" applyNumberFormat="1" applyFont="1" applyBorder="1"/>
    <xf numFmtId="165" fontId="8" fillId="0" borderId="0" xfId="32" applyNumberFormat="1" applyFont="1" applyBorder="1"/>
    <xf numFmtId="169" fontId="8" fillId="0" borderId="0" xfId="32" applyNumberFormat="1" applyFont="1" applyFill="1" applyBorder="1" applyProtection="1">
      <protection locked="0"/>
    </xf>
    <xf numFmtId="168" fontId="8" fillId="0" borderId="0" xfId="32" applyNumberFormat="1" applyFont="1" applyFill="1" applyBorder="1" applyAlignment="1" applyProtection="1">
      <alignment horizontal="left"/>
      <protection locked="0"/>
    </xf>
    <xf numFmtId="0" fontId="8" fillId="0" borderId="12" xfId="32" applyFont="1" applyFill="1" applyBorder="1" applyProtection="1">
      <protection locked="0"/>
    </xf>
    <xf numFmtId="165" fontId="8" fillId="0" borderId="69" xfId="32" applyNumberFormat="1" applyFont="1" applyBorder="1"/>
    <xf numFmtId="165" fontId="8" fillId="0" borderId="12" xfId="32" applyNumberFormat="1" applyFont="1" applyBorder="1"/>
    <xf numFmtId="0" fontId="14" fillId="0" borderId="0" xfId="32" applyFont="1"/>
    <xf numFmtId="165" fontId="5" fillId="0" borderId="0" xfId="122" applyNumberFormat="1"/>
    <xf numFmtId="170" fontId="8" fillId="0" borderId="57" xfId="4" applyNumberFormat="1" applyFont="1" applyFill="1" applyBorder="1" applyAlignment="1">
      <alignment horizontal="center" vertical="center"/>
    </xf>
    <xf numFmtId="165" fontId="8" fillId="0" borderId="0" xfId="4" applyNumberFormat="1" applyFont="1" applyFill="1" applyBorder="1" applyAlignment="1">
      <alignment horizontal="center" vertical="center"/>
    </xf>
    <xf numFmtId="169" fontId="8" fillId="0" borderId="30" xfId="13" applyNumberFormat="1" applyFont="1" applyFill="1" applyBorder="1" applyAlignment="1" applyProtection="1">
      <alignment vertical="center" wrapText="1"/>
      <protection locked="0"/>
    </xf>
    <xf numFmtId="170" fontId="9" fillId="0" borderId="64" xfId="4" applyNumberFormat="1" applyFont="1" applyFill="1" applyBorder="1" applyAlignment="1">
      <alignment horizontal="center" vertical="center"/>
    </xf>
    <xf numFmtId="165" fontId="14" fillId="2" borderId="24" xfId="12" quotePrefix="1" applyNumberFormat="1" applyFont="1" applyFill="1" applyBorder="1" applyAlignment="1" applyProtection="1">
      <alignment horizontal="center" vertical="center"/>
      <protection locked="0"/>
    </xf>
    <xf numFmtId="165" fontId="14" fillId="0" borderId="24" xfId="12" quotePrefix="1" applyNumberFormat="1" applyFont="1" applyFill="1" applyBorder="1" applyAlignment="1" applyProtection="1">
      <alignment horizontal="center" vertical="center"/>
      <protection locked="0"/>
    </xf>
    <xf numFmtId="0" fontId="35" fillId="0" borderId="0" xfId="28" applyFont="1" applyFill="1"/>
    <xf numFmtId="0" fontId="9" fillId="0" borderId="0" xfId="28" applyFont="1" applyFill="1"/>
    <xf numFmtId="0" fontId="9" fillId="4" borderId="0" xfId="28" applyFont="1" applyFill="1"/>
    <xf numFmtId="0" fontId="29" fillId="3" borderId="1" xfId="28" applyFont="1" applyFill="1" applyBorder="1" applyAlignment="1">
      <alignment horizontal="center" vertical="center" wrapText="1"/>
    </xf>
    <xf numFmtId="0" fontId="8" fillId="0" borderId="2" xfId="28" applyFont="1" applyFill="1" applyBorder="1"/>
    <xf numFmtId="3" fontId="8" fillId="0" borderId="2" xfId="28" applyNumberFormat="1" applyFill="1" applyBorder="1" applyAlignment="1">
      <alignment horizontal="center" vertical="center"/>
    </xf>
    <xf numFmtId="3" fontId="8" fillId="0" borderId="2" xfId="28" applyNumberFormat="1" applyFont="1" applyFill="1" applyBorder="1" applyAlignment="1">
      <alignment horizontal="center" vertical="center"/>
    </xf>
    <xf numFmtId="165" fontId="8" fillId="4" borderId="2" xfId="28" applyNumberFormat="1" applyFont="1" applyFill="1" applyBorder="1" applyAlignment="1" applyProtection="1">
      <alignment horizontal="center" vertical="center"/>
      <protection locked="0"/>
    </xf>
    <xf numFmtId="0" fontId="29" fillId="3" borderId="1" xfId="28" applyFont="1" applyFill="1" applyBorder="1"/>
    <xf numFmtId="3" fontId="69" fillId="3" borderId="1" xfId="28" applyNumberFormat="1" applyFont="1" applyFill="1" applyBorder="1" applyAlignment="1">
      <alignment horizontal="center" vertical="center"/>
    </xf>
    <xf numFmtId="165" fontId="69" fillId="3" borderId="1" xfId="28" applyNumberFormat="1" applyFont="1" applyFill="1" applyBorder="1" applyAlignment="1" applyProtection="1">
      <alignment horizontal="center" vertical="center"/>
      <protection locked="0"/>
    </xf>
    <xf numFmtId="168" fontId="8" fillId="0" borderId="0" xfId="28" quotePrefix="1" applyNumberFormat="1" applyFont="1" applyFill="1" applyBorder="1" applyAlignment="1" applyProtection="1">
      <alignment horizontal="left" vertical="center"/>
      <protection locked="0"/>
    </xf>
    <xf numFmtId="0" fontId="8" fillId="0" borderId="0" xfId="28" applyFont="1" applyFill="1" applyAlignment="1">
      <alignment vertical="center"/>
    </xf>
    <xf numFmtId="0" fontId="8" fillId="4" borderId="0" xfId="28" applyFont="1" applyFill="1" applyAlignment="1">
      <alignment vertical="center"/>
    </xf>
    <xf numFmtId="168" fontId="8" fillId="0" borderId="0" xfId="28" applyNumberFormat="1" applyFont="1" applyFill="1" applyBorder="1" applyAlignment="1" applyProtection="1">
      <alignment horizontal="left" vertical="center"/>
      <protection locked="0"/>
    </xf>
    <xf numFmtId="0" fontId="11" fillId="0" borderId="0" xfId="28" applyFont="1" applyFill="1" applyAlignment="1">
      <alignment vertical="center"/>
    </xf>
    <xf numFmtId="0" fontId="9" fillId="0" borderId="0" xfId="28" applyFont="1"/>
    <xf numFmtId="169" fontId="12" fillId="0" borderId="0" xfId="28" applyNumberFormat="1" applyFont="1" applyFill="1" applyBorder="1" applyProtection="1">
      <protection locked="0"/>
    </xf>
    <xf numFmtId="166" fontId="8" fillId="0" borderId="0" xfId="28" applyNumberFormat="1"/>
    <xf numFmtId="165" fontId="8" fillId="4" borderId="68" xfId="28" applyNumberFormat="1" applyFont="1" applyFill="1" applyBorder="1"/>
    <xf numFmtId="0" fontId="8" fillId="0" borderId="63" xfId="28" applyBorder="1"/>
    <xf numFmtId="165" fontId="9" fillId="0" borderId="0" xfId="28" applyNumberFormat="1" applyFont="1" applyFill="1" applyBorder="1"/>
    <xf numFmtId="165" fontId="8" fillId="0" borderId="0" xfId="28" applyNumberFormat="1" applyFill="1" applyBorder="1"/>
    <xf numFmtId="0" fontId="8" fillId="4" borderId="63" xfId="28" applyFill="1" applyBorder="1"/>
    <xf numFmtId="165" fontId="8" fillId="0" borderId="21" xfId="0" applyNumberFormat="1" applyFont="1" applyBorder="1" applyAlignment="1">
      <alignment vertical="top" wrapText="1"/>
    </xf>
    <xf numFmtId="169" fontId="22" fillId="3" borderId="64" xfId="13" applyNumberFormat="1" applyFont="1" applyFill="1" applyBorder="1" applyAlignment="1" applyProtection="1">
      <alignment horizontal="center" vertical="center"/>
      <protection locked="0"/>
    </xf>
    <xf numFmtId="169" fontId="9" fillId="0" borderId="63" xfId="13" applyNumberFormat="1" applyFont="1" applyBorder="1" applyAlignment="1" applyProtection="1">
      <alignment vertical="center"/>
      <protection locked="0"/>
    </xf>
    <xf numFmtId="166" fontId="9" fillId="0" borderId="8" xfId="39" applyNumberFormat="1" applyFont="1" applyBorder="1" applyAlignment="1">
      <alignment vertical="center"/>
    </xf>
    <xf numFmtId="0" fontId="8" fillId="0" borderId="0" xfId="28" applyFont="1" applyFill="1" applyBorder="1" applyAlignment="1" applyProtection="1">
      <alignment vertical="center"/>
      <protection locked="0"/>
    </xf>
    <xf numFmtId="0" fontId="8" fillId="0" borderId="0" xfId="28" applyFont="1" applyAlignment="1">
      <alignment vertical="center"/>
    </xf>
    <xf numFmtId="0" fontId="33" fillId="0" borderId="63" xfId="123" applyFont="1" applyBorder="1" applyAlignment="1">
      <alignment horizontal="center"/>
    </xf>
    <xf numFmtId="9" fontId="33" fillId="0" borderId="64" xfId="14" applyNumberFormat="1" applyFont="1" applyBorder="1"/>
    <xf numFmtId="0" fontId="8" fillId="0" borderId="0" xfId="28" applyFont="1" applyFill="1" applyBorder="1" applyProtection="1">
      <protection locked="0"/>
    </xf>
    <xf numFmtId="0" fontId="76" fillId="0" borderId="0" xfId="28" applyFont="1" applyFill="1" applyBorder="1" applyProtection="1">
      <protection locked="0"/>
    </xf>
    <xf numFmtId="170" fontId="0" fillId="0" borderId="0" xfId="0" applyNumberFormat="1" applyFill="1" applyBorder="1"/>
    <xf numFmtId="0" fontId="8" fillId="0" borderId="0" xfId="28" applyFont="1" applyFill="1" applyAlignment="1"/>
    <xf numFmtId="0" fontId="14" fillId="0" borderId="0" xfId="26" applyNumberFormat="1" applyFont="1" applyFill="1" applyBorder="1" applyAlignment="1" applyProtection="1">
      <protection locked="0"/>
    </xf>
    <xf numFmtId="0" fontId="33" fillId="0" borderId="0" xfId="0" applyFont="1" applyBorder="1"/>
    <xf numFmtId="165" fontId="23" fillId="0" borderId="5" xfId="98" applyNumberFormat="1" applyFill="1" applyBorder="1" applyAlignment="1" applyProtection="1">
      <alignment horizontal="center"/>
    </xf>
    <xf numFmtId="165" fontId="23" fillId="0" borderId="70" xfId="98" applyNumberFormat="1" applyFill="1" applyBorder="1" applyAlignment="1" applyProtection="1">
      <alignment horizontal="center"/>
    </xf>
    <xf numFmtId="0" fontId="13" fillId="0" borderId="0" xfId="26" applyFont="1" applyBorder="1" applyAlignment="1"/>
    <xf numFmtId="0" fontId="20" fillId="0" borderId="0" xfId="26" applyFont="1" applyBorder="1" applyAlignment="1"/>
    <xf numFmtId="0" fontId="73" fillId="0" borderId="0" xfId="26" applyFont="1" applyBorder="1"/>
    <xf numFmtId="0" fontId="27" fillId="0" borderId="0" xfId="28" applyFont="1" applyAlignment="1">
      <alignment horizontal="left" vertical="center" readingOrder="1"/>
    </xf>
    <xf numFmtId="170" fontId="20" fillId="0" borderId="71" xfId="4" applyNumberFormat="1" applyFont="1" applyFill="1" applyBorder="1" applyAlignment="1">
      <alignment horizontal="center" vertical="center"/>
    </xf>
    <xf numFmtId="169" fontId="8" fillId="0" borderId="72" xfId="13" applyNumberFormat="1" applyFont="1" applyFill="1" applyBorder="1" applyAlignment="1" applyProtection="1">
      <alignment vertical="center"/>
      <protection locked="0"/>
    </xf>
    <xf numFmtId="170" fontId="8" fillId="0" borderId="5" xfId="4" applyNumberFormat="1" applyFont="1" applyFill="1" applyBorder="1" applyAlignment="1">
      <alignment horizontal="center" vertical="center"/>
    </xf>
    <xf numFmtId="170" fontId="8" fillId="0" borderId="73" xfId="4" applyNumberFormat="1" applyFont="1" applyFill="1" applyBorder="1" applyAlignment="1">
      <alignment horizontal="center" vertical="center"/>
    </xf>
    <xf numFmtId="0" fontId="14" fillId="0" borderId="0" xfId="0" applyFont="1" applyFill="1" applyBorder="1" applyAlignment="1">
      <alignment horizontal="left" vertical="top" wrapText="1"/>
    </xf>
    <xf numFmtId="3" fontId="14" fillId="0" borderId="0" xfId="0" applyNumberFormat="1" applyFont="1" applyAlignment="1">
      <alignment horizontal="right"/>
    </xf>
    <xf numFmtId="3" fontId="14" fillId="0" borderId="0" xfId="0" applyNumberFormat="1" applyFont="1" applyBorder="1" applyAlignment="1">
      <alignment horizontal="right" wrapText="1"/>
    </xf>
    <xf numFmtId="167" fontId="14" fillId="0" borderId="0" xfId="0" applyNumberFormat="1" applyFont="1" applyBorder="1" applyAlignment="1">
      <alignment horizontal="right" wrapText="1"/>
    </xf>
    <xf numFmtId="167" fontId="14" fillId="0" borderId="0" xfId="0" applyNumberFormat="1" applyFont="1" applyFill="1" applyBorder="1" applyAlignment="1">
      <alignment horizontal="right" wrapText="1"/>
    </xf>
    <xf numFmtId="0" fontId="14" fillId="0" borderId="0" xfId="0" applyFont="1" applyAlignment="1">
      <alignment horizontal="right"/>
    </xf>
    <xf numFmtId="1" fontId="14" fillId="0" borderId="0" xfId="0" applyNumberFormat="1" applyFont="1" applyAlignment="1">
      <alignment horizontal="right"/>
    </xf>
    <xf numFmtId="0" fontId="8" fillId="0" borderId="0" xfId="0" applyFont="1" applyAlignment="1">
      <alignment vertical="top"/>
    </xf>
    <xf numFmtId="0" fontId="87" fillId="0" borderId="0" xfId="0" applyFont="1" applyFill="1" applyBorder="1" applyAlignment="1">
      <alignment horizontal="left" vertical="top" wrapText="1"/>
    </xf>
    <xf numFmtId="3" fontId="87" fillId="0" borderId="0" xfId="0" applyNumberFormat="1" applyFont="1" applyAlignment="1">
      <alignment horizontal="right"/>
    </xf>
    <xf numFmtId="3" fontId="87" fillId="0" borderId="0" xfId="0" applyNumberFormat="1" applyFont="1" applyBorder="1" applyAlignment="1">
      <alignment horizontal="right" wrapText="1"/>
    </xf>
    <xf numFmtId="167" fontId="87" fillId="0" borderId="0" xfId="0" applyNumberFormat="1" applyFont="1" applyBorder="1" applyAlignment="1">
      <alignment horizontal="right" wrapText="1"/>
    </xf>
    <xf numFmtId="0" fontId="30" fillId="3" borderId="0" xfId="0" applyFont="1" applyFill="1" applyBorder="1" applyAlignment="1">
      <alignment horizontal="left" vertical="center" wrapText="1"/>
    </xf>
    <xf numFmtId="3" fontId="30" fillId="3" borderId="0" xfId="0" applyNumberFormat="1" applyFont="1" applyFill="1" applyBorder="1" applyAlignment="1">
      <alignment horizontal="right" vertical="center" wrapText="1"/>
    </xf>
    <xf numFmtId="167" fontId="30" fillId="3" borderId="0" xfId="0" applyNumberFormat="1" applyFont="1" applyFill="1" applyBorder="1" applyAlignment="1">
      <alignment horizontal="right" vertical="center" wrapText="1"/>
    </xf>
    <xf numFmtId="166" fontId="8" fillId="0" borderId="0" xfId="14" applyNumberFormat="1"/>
    <xf numFmtId="0" fontId="88" fillId="0" borderId="0" xfId="144" applyFont="1" applyFill="1" applyBorder="1"/>
    <xf numFmtId="0" fontId="34" fillId="0" borderId="0" xfId="0" applyFont="1" applyFill="1" applyBorder="1" applyAlignment="1">
      <alignment horizontal="left" vertical="center" wrapText="1"/>
    </xf>
    <xf numFmtId="0" fontId="79" fillId="0" borderId="0" xfId="0" applyFont="1" applyFill="1" applyBorder="1" applyAlignment="1">
      <alignment horizontal="left" vertical="center" wrapText="1"/>
    </xf>
    <xf numFmtId="0" fontId="89" fillId="0" borderId="0" xfId="0" applyFont="1"/>
    <xf numFmtId="170" fontId="20" fillId="0" borderId="70" xfId="4" applyNumberFormat="1" applyFont="1" applyFill="1" applyBorder="1" applyAlignment="1">
      <alignment horizontal="center" vertical="center"/>
    </xf>
    <xf numFmtId="165" fontId="8" fillId="0" borderId="0" xfId="4" quotePrefix="1" applyNumberFormat="1" applyFont="1" applyFill="1" applyBorder="1" applyAlignment="1">
      <alignment horizontal="center" vertical="center"/>
    </xf>
    <xf numFmtId="165" fontId="9" fillId="0" borderId="76" xfId="4" applyNumberFormat="1" applyFont="1" applyFill="1" applyBorder="1" applyAlignment="1">
      <alignment horizontal="center" vertical="center"/>
    </xf>
    <xf numFmtId="165" fontId="8" fillId="0" borderId="77" xfId="4" applyNumberFormat="1" applyFont="1" applyFill="1" applyBorder="1" applyAlignment="1">
      <alignment horizontal="center" vertical="center"/>
    </xf>
    <xf numFmtId="0" fontId="90" fillId="0" borderId="0" xfId="0" applyFont="1" applyAlignment="1">
      <alignment vertical="center"/>
    </xf>
    <xf numFmtId="186" fontId="8" fillId="0" borderId="0" xfId="28" applyNumberFormat="1" applyFill="1"/>
    <xf numFmtId="184" fontId="10" fillId="0" borderId="0" xfId="7" applyNumberFormat="1" applyFont="1" applyFill="1" applyAlignment="1">
      <alignment vertical="center"/>
    </xf>
    <xf numFmtId="2" fontId="10" fillId="0" borderId="0" xfId="7" applyNumberFormat="1" applyFont="1" applyAlignment="1">
      <alignment vertical="center"/>
    </xf>
    <xf numFmtId="0" fontId="34" fillId="0" borderId="0" xfId="12" applyFont="1" applyBorder="1" applyAlignment="1" applyProtection="1">
      <alignment horizontal="left" vertical="center" wrapText="1"/>
      <protection locked="0"/>
    </xf>
    <xf numFmtId="171" fontId="8" fillId="0" borderId="0" xfId="28" applyNumberFormat="1" applyFont="1" applyFill="1" applyAlignment="1">
      <alignment vertical="center"/>
    </xf>
    <xf numFmtId="166" fontId="1" fillId="0" borderId="0" xfId="41" applyNumberFormat="1" applyFont="1" applyAlignment="1">
      <alignment vertical="center"/>
    </xf>
    <xf numFmtId="0" fontId="14" fillId="0" borderId="0" xfId="0" applyFont="1" applyFill="1" applyBorder="1" applyAlignment="1">
      <alignment vertical="center"/>
    </xf>
    <xf numFmtId="0" fontId="14" fillId="0" borderId="0" xfId="26" applyNumberFormat="1" applyFont="1" applyFill="1" applyBorder="1" applyAlignment="1" applyProtection="1">
      <alignment horizontal="left" wrapText="1"/>
      <protection locked="0"/>
    </xf>
    <xf numFmtId="0" fontId="19" fillId="0" borderId="0" xfId="12" applyFont="1" applyBorder="1" applyAlignment="1">
      <alignment horizontal="left" vertical="center" wrapText="1"/>
    </xf>
    <xf numFmtId="0" fontId="30" fillId="3" borderId="28" xfId="11" applyFont="1" applyFill="1" applyBorder="1" applyAlignment="1">
      <alignment wrapText="1"/>
    </xf>
    <xf numFmtId="0" fontId="14" fillId="0" borderId="0" xfId="11" applyFont="1" applyBorder="1" applyAlignment="1"/>
    <xf numFmtId="0" fontId="14" fillId="0" borderId="0" xfId="11" applyFont="1" applyBorder="1"/>
    <xf numFmtId="0" fontId="13" fillId="0" borderId="0" xfId="11" applyFont="1" applyBorder="1"/>
    <xf numFmtId="0" fontId="32" fillId="0" borderId="0" xfId="11" applyFont="1" applyBorder="1" applyAlignment="1"/>
    <xf numFmtId="0" fontId="30" fillId="3" borderId="0" xfId="11" applyFont="1" applyFill="1" applyBorder="1"/>
    <xf numFmtId="0" fontId="30" fillId="3" borderId="0" xfId="11" applyFont="1" applyFill="1" applyBorder="1" applyAlignment="1">
      <alignment wrapText="1"/>
    </xf>
    <xf numFmtId="0" fontId="18" fillId="0" borderId="0" xfId="11" applyBorder="1"/>
    <xf numFmtId="0" fontId="14" fillId="0" borderId="0" xfId="11" applyNumberFormat="1" applyFont="1" applyBorder="1" applyAlignment="1">
      <alignment horizontal="right"/>
    </xf>
    <xf numFmtId="3" fontId="14" fillId="0" borderId="0" xfId="11" applyNumberFormat="1" applyFont="1" applyBorder="1"/>
    <xf numFmtId="167" fontId="14" fillId="0" borderId="0" xfId="11" applyNumberFormat="1" applyFont="1" applyBorder="1" applyAlignment="1"/>
    <xf numFmtId="0" fontId="14" fillId="0" borderId="0" xfId="11" applyNumberFormat="1" applyFont="1" applyBorder="1"/>
    <xf numFmtId="0" fontId="89" fillId="0" borderId="0" xfId="0" applyFont="1" applyBorder="1"/>
    <xf numFmtId="1" fontId="14" fillId="0" borderId="0" xfId="11" applyNumberFormat="1" applyFont="1" applyBorder="1"/>
    <xf numFmtId="0" fontId="14" fillId="0" borderId="0" xfId="26" applyFont="1" applyBorder="1"/>
    <xf numFmtId="0" fontId="35" fillId="0" borderId="0" xfId="0" applyFont="1" applyFill="1" applyBorder="1" applyAlignment="1">
      <alignment horizontal="left" vertical="center" wrapText="1"/>
    </xf>
    <xf numFmtId="0" fontId="14" fillId="0" borderId="0" xfId="0" applyFont="1" applyBorder="1" applyAlignment="1" applyProtection="1">
      <alignment horizontal="left" vertical="center" wrapText="1"/>
      <protection locked="0"/>
    </xf>
    <xf numFmtId="0" fontId="0" fillId="0" borderId="0" xfId="0" applyAlignment="1">
      <alignment vertical="center" wrapText="1"/>
    </xf>
    <xf numFmtId="0" fontId="14" fillId="0" borderId="0" xfId="26" applyNumberFormat="1" applyFont="1" applyFill="1" applyBorder="1" applyAlignment="1" applyProtection="1">
      <alignment horizontal="left" wrapText="1"/>
      <protection locked="0"/>
    </xf>
    <xf numFmtId="0" fontId="14" fillId="0" borderId="0" xfId="26" applyNumberFormat="1" applyFont="1" applyFill="1" applyBorder="1" applyAlignment="1" applyProtection="1">
      <alignment horizontal="left"/>
      <protection locked="0"/>
    </xf>
    <xf numFmtId="0" fontId="14" fillId="0" borderId="0" xfId="35" applyFont="1" applyFill="1" applyAlignment="1">
      <alignment horizontal="left" wrapText="1"/>
    </xf>
    <xf numFmtId="0" fontId="14" fillId="0" borderId="0" xfId="35" applyFont="1" applyFill="1" applyAlignment="1">
      <alignment horizontal="left" vertical="center" wrapText="1"/>
    </xf>
    <xf numFmtId="0" fontId="34" fillId="0" borderId="0" xfId="12" applyFont="1" applyBorder="1" applyAlignment="1" applyProtection="1">
      <alignment horizontal="left" vertical="center" wrapText="1"/>
      <protection locked="0"/>
    </xf>
    <xf numFmtId="165" fontId="15" fillId="3" borderId="6" xfId="35" applyNumberFormat="1" applyFont="1" applyFill="1" applyBorder="1" applyAlignment="1">
      <alignment horizontal="center" wrapText="1"/>
    </xf>
    <xf numFmtId="165" fontId="15" fillId="3" borderId="50" xfId="35" applyNumberFormat="1" applyFont="1" applyFill="1" applyBorder="1" applyAlignment="1">
      <alignment horizontal="center" wrapText="1"/>
    </xf>
    <xf numFmtId="1" fontId="14" fillId="0" borderId="0" xfId="35" applyNumberFormat="1" applyFont="1" applyFill="1" applyBorder="1" applyAlignment="1">
      <alignment horizontal="left"/>
    </xf>
    <xf numFmtId="1" fontId="14" fillId="0" borderId="28" xfId="35" applyNumberFormat="1" applyFont="1" applyFill="1" applyBorder="1" applyAlignment="1">
      <alignment horizontal="left"/>
    </xf>
    <xf numFmtId="165" fontId="12" fillId="0" borderId="0" xfId="35" applyNumberFormat="1" applyFont="1" applyFill="1" applyBorder="1" applyAlignment="1">
      <alignment horizontal="right"/>
    </xf>
    <xf numFmtId="165" fontId="12" fillId="0" borderId="28" xfId="35" applyNumberFormat="1" applyFont="1" applyFill="1" applyBorder="1" applyAlignment="1">
      <alignment horizontal="right"/>
    </xf>
    <xf numFmtId="165" fontId="14" fillId="0" borderId="0" xfId="35" applyNumberFormat="1" applyFont="1" applyFill="1" applyBorder="1" applyAlignment="1">
      <alignment horizontal="left"/>
    </xf>
    <xf numFmtId="165" fontId="14" fillId="0" borderId="28" xfId="35" applyNumberFormat="1" applyFont="1" applyFill="1" applyBorder="1" applyAlignment="1">
      <alignment horizontal="left"/>
    </xf>
    <xf numFmtId="3" fontId="15" fillId="3" borderId="0" xfId="35" applyNumberFormat="1" applyFont="1" applyFill="1" applyBorder="1" applyAlignment="1">
      <alignment horizontal="left" vertical="center" wrapText="1"/>
    </xf>
    <xf numFmtId="3" fontId="15" fillId="3" borderId="28" xfId="35" applyNumberFormat="1" applyFont="1" applyFill="1" applyBorder="1" applyAlignment="1">
      <alignment horizontal="left" vertical="center" wrapText="1"/>
    </xf>
    <xf numFmtId="0" fontId="76" fillId="0" borderId="0" xfId="0" applyFont="1" applyFill="1" applyBorder="1" applyAlignment="1">
      <alignment horizontal="left" vertical="center" wrapText="1"/>
    </xf>
    <xf numFmtId="0" fontId="13" fillId="0" borderId="0" xfId="26" applyFont="1" applyAlignment="1">
      <alignment horizontal="left" vertical="center" wrapText="1"/>
    </xf>
    <xf numFmtId="0" fontId="14" fillId="0" borderId="0" xfId="0" applyFont="1" applyFill="1" applyBorder="1" applyAlignment="1">
      <alignment horizontal="left" vertical="center" wrapText="1"/>
    </xf>
    <xf numFmtId="0" fontId="34" fillId="0" borderId="0" xfId="0" applyFont="1" applyFill="1" applyBorder="1" applyAlignment="1">
      <alignment horizontal="left" vertical="center" wrapText="1"/>
    </xf>
    <xf numFmtId="0" fontId="19" fillId="0" borderId="0" xfId="12" applyFont="1" applyBorder="1" applyAlignment="1">
      <alignment horizontal="left" vertical="center" wrapText="1"/>
    </xf>
    <xf numFmtId="0" fontId="14" fillId="0" borderId="0" xfId="26" applyFont="1" applyBorder="1" applyAlignment="1">
      <alignment horizontal="left" wrapText="1"/>
    </xf>
    <xf numFmtId="0" fontId="14" fillId="0" borderId="0" xfId="26" applyFont="1" applyAlignment="1">
      <alignment horizontal="left" wrapText="1"/>
    </xf>
    <xf numFmtId="0" fontId="12" fillId="0" borderId="0" xfId="28" applyFont="1" applyAlignment="1">
      <alignment horizontal="left" wrapText="1"/>
    </xf>
    <xf numFmtId="0" fontId="9" fillId="4" borderId="17" xfId="28" applyFont="1" applyFill="1" applyBorder="1" applyAlignment="1">
      <alignment horizontal="center" vertical="center"/>
    </xf>
    <xf numFmtId="0" fontId="9" fillId="4" borderId="16" xfId="28" applyFont="1" applyFill="1" applyBorder="1" applyAlignment="1">
      <alignment horizontal="center" vertical="center"/>
    </xf>
    <xf numFmtId="0" fontId="9" fillId="4" borderId="18" xfId="28" applyFont="1" applyFill="1" applyBorder="1" applyAlignment="1">
      <alignment horizontal="center" vertical="center"/>
    </xf>
    <xf numFmtId="0" fontId="20" fillId="0" borderId="0" xfId="0" applyFont="1" applyFill="1" applyBorder="1" applyAlignment="1">
      <alignment horizontal="left" vertical="center" wrapText="1"/>
    </xf>
    <xf numFmtId="0" fontId="79" fillId="0" borderId="0" xfId="0" applyFont="1" applyFill="1" applyBorder="1" applyAlignment="1">
      <alignment horizontal="left" vertical="center" wrapText="1"/>
    </xf>
    <xf numFmtId="0" fontId="8" fillId="0" borderId="0" xfId="0" applyFont="1" applyFill="1" applyBorder="1" applyAlignment="1">
      <alignment horizontal="left" vertical="center" wrapText="1"/>
    </xf>
    <xf numFmtId="1" fontId="22" fillId="3" borderId="51" xfId="4" applyNumberFormat="1" applyFont="1" applyFill="1" applyBorder="1" applyAlignment="1">
      <alignment horizontal="center" vertical="center" wrapText="1"/>
    </xf>
    <xf numFmtId="1" fontId="22" fillId="3" borderId="52" xfId="4" applyNumberFormat="1" applyFont="1" applyFill="1" applyBorder="1" applyAlignment="1">
      <alignment horizontal="center" vertical="center" wrapText="1"/>
    </xf>
    <xf numFmtId="1" fontId="22" fillId="3" borderId="61" xfId="4" applyNumberFormat="1" applyFont="1" applyFill="1" applyBorder="1" applyAlignment="1">
      <alignment horizontal="center" vertical="center" wrapText="1"/>
    </xf>
    <xf numFmtId="1" fontId="22" fillId="3" borderId="62" xfId="4" applyNumberFormat="1" applyFont="1" applyFill="1" applyBorder="1" applyAlignment="1">
      <alignment horizontal="center" vertical="center" wrapText="1"/>
    </xf>
    <xf numFmtId="1" fontId="22" fillId="3" borderId="29" xfId="4" applyNumberFormat="1" applyFont="1" applyFill="1" applyBorder="1" applyAlignment="1">
      <alignment horizontal="center" vertical="center" wrapText="1"/>
    </xf>
    <xf numFmtId="1" fontId="22" fillId="3" borderId="34" xfId="4" applyNumberFormat="1" applyFont="1" applyFill="1" applyBorder="1" applyAlignment="1">
      <alignment horizontal="center" vertical="center" wrapText="1"/>
    </xf>
    <xf numFmtId="1" fontId="29" fillId="3" borderId="29" xfId="4" applyNumberFormat="1" applyFont="1" applyFill="1" applyBorder="1" applyAlignment="1">
      <alignment horizontal="center" vertical="center" wrapText="1"/>
    </xf>
    <xf numFmtId="1" fontId="29" fillId="3" borderId="34" xfId="4" applyNumberFormat="1" applyFont="1" applyFill="1" applyBorder="1" applyAlignment="1">
      <alignment horizontal="center" vertical="center" wrapText="1"/>
    </xf>
    <xf numFmtId="3" fontId="22" fillId="3" borderId="51" xfId="13" applyNumberFormat="1" applyFont="1" applyFill="1" applyBorder="1" applyAlignment="1">
      <alignment horizontal="center" vertical="center" wrapText="1"/>
    </xf>
    <xf numFmtId="3" fontId="22" fillId="3" borderId="52" xfId="13" applyNumberFormat="1" applyFont="1" applyFill="1" applyBorder="1" applyAlignment="1">
      <alignment horizontal="center" vertical="center" wrapText="1"/>
    </xf>
    <xf numFmtId="0" fontId="69" fillId="3" borderId="74" xfId="28" applyFont="1" applyFill="1" applyBorder="1" applyAlignment="1">
      <alignment horizontal="center" vertical="center" wrapText="1"/>
    </xf>
    <xf numFmtId="0" fontId="69" fillId="3" borderId="75" xfId="28" applyFont="1" applyFill="1" applyBorder="1" applyAlignment="1">
      <alignment horizontal="center" vertical="center" wrapText="1"/>
    </xf>
    <xf numFmtId="0" fontId="14" fillId="0" borderId="0" xfId="0" applyFont="1" applyAlignment="1">
      <alignment horizontal="left" vertical="top" wrapText="1"/>
    </xf>
    <xf numFmtId="0" fontId="13" fillId="0" borderId="0" xfId="0" applyFont="1" applyBorder="1" applyAlignment="1">
      <alignment horizontal="left"/>
    </xf>
    <xf numFmtId="0" fontId="13" fillId="0" borderId="0" xfId="0" applyFont="1" applyAlignment="1">
      <alignment horizontal="left" wrapText="1"/>
    </xf>
    <xf numFmtId="0" fontId="14" fillId="0" borderId="0" xfId="0" applyFont="1" applyAlignment="1">
      <alignment horizontal="left" vertical="top"/>
    </xf>
    <xf numFmtId="0" fontId="79" fillId="0" borderId="64" xfId="0" applyFont="1" applyFill="1" applyBorder="1" applyAlignment="1">
      <alignment horizontal="left" vertical="center" wrapText="1"/>
    </xf>
    <xf numFmtId="0" fontId="20" fillId="0" borderId="64" xfId="0" applyFont="1" applyBorder="1" applyAlignment="1">
      <alignment horizontal="left" wrapText="1"/>
    </xf>
    <xf numFmtId="0" fontId="0" fillId="0" borderId="64" xfId="0" applyBorder="1" applyAlignment="1">
      <alignment horizontal="left" wrapText="1"/>
    </xf>
  </cellXfs>
  <cellStyles count="163">
    <cellStyle name="20% - Accent1" xfId="43"/>
    <cellStyle name="20% - Accent2" xfId="44"/>
    <cellStyle name="20% - Accent3" xfId="45"/>
    <cellStyle name="20% - Accent4" xfId="46"/>
    <cellStyle name="20% - Accent5" xfId="47"/>
    <cellStyle name="20% - Accent6" xfId="48"/>
    <cellStyle name="40% - Accent1" xfId="49"/>
    <cellStyle name="40% - Accent2" xfId="50"/>
    <cellStyle name="40% - Accent3" xfId="51"/>
    <cellStyle name="40% - Accent4" xfId="52"/>
    <cellStyle name="40% - Accent5" xfId="53"/>
    <cellStyle name="40% - Accent6" xfId="54"/>
    <cellStyle name="60% - Accent1" xfId="55"/>
    <cellStyle name="60% - Accent2" xfId="56"/>
    <cellStyle name="60% - Accent3" xfId="57"/>
    <cellStyle name="60% - Accent4" xfId="58"/>
    <cellStyle name="60% - Accent5" xfId="59"/>
    <cellStyle name="60% - Accent6" xfId="60"/>
    <cellStyle name="Bad" xfId="61"/>
    <cellStyle name="bin" xfId="62"/>
    <cellStyle name="Calculation" xfId="63"/>
    <cellStyle name="cell" xfId="64"/>
    <cellStyle name="Check Cell" xfId="65"/>
    <cellStyle name="Col&amp;RowHeadings" xfId="66"/>
    <cellStyle name="ColCodes" xfId="67"/>
    <cellStyle name="ColTitles" xfId="68"/>
    <cellStyle name="ColTitles 2" xfId="137"/>
    <cellStyle name="column" xfId="69"/>
    <cellStyle name="Comma [0]_B3.1a" xfId="70"/>
    <cellStyle name="Comma 2" xfId="71"/>
    <cellStyle name="Comma 2 2" xfId="138"/>
    <cellStyle name="Comma_B3.1a" xfId="72"/>
    <cellStyle name="Currency [0]_B3.1a" xfId="73"/>
    <cellStyle name="Currency_B3.1a" xfId="74"/>
    <cellStyle name="DataEntryCells" xfId="75"/>
    <cellStyle name="Euro" xfId="19"/>
    <cellStyle name="Explanatory Text" xfId="76"/>
    <cellStyle name="formula" xfId="77"/>
    <cellStyle name="gap" xfId="78"/>
    <cellStyle name="Good" xfId="79"/>
    <cellStyle name="GreyBackground" xfId="80"/>
    <cellStyle name="Heading 1" xfId="81"/>
    <cellStyle name="Heading 2" xfId="82"/>
    <cellStyle name="Heading 3" xfId="83"/>
    <cellStyle name="Heading 4" xfId="84"/>
    <cellStyle name="Hyperlink 2" xfId="85"/>
    <cellStyle name="Input" xfId="86"/>
    <cellStyle name="ISC" xfId="87"/>
    <cellStyle name="level1a" xfId="88"/>
    <cellStyle name="level2" xfId="89"/>
    <cellStyle name="level2a" xfId="90"/>
    <cellStyle name="level3" xfId="91"/>
    <cellStyle name="Lien hypertexte" xfId="144" builtinId="8"/>
    <cellStyle name="Lien hypertexte 2" xfId="1"/>
    <cellStyle name="Lien hypertexte 2 2" xfId="20"/>
    <cellStyle name="Lien hypertexte 2 3" xfId="92"/>
    <cellStyle name="Lien hypertexte 3" xfId="2"/>
    <cellStyle name="Lien hypertexte 3 2" xfId="120"/>
    <cellStyle name="Lien hypertexte 3 3" xfId="93"/>
    <cellStyle name="Lien hypertexte 4" xfId="3"/>
    <cellStyle name="Lien hypertexte 4 2" xfId="21"/>
    <cellStyle name="Lien hypertexte 5" xfId="160"/>
    <cellStyle name="Linked Cell" xfId="94"/>
    <cellStyle name="Migliaia (0)_conti99" xfId="95"/>
    <cellStyle name="Milliers" xfId="4" builtinId="3"/>
    <cellStyle name="Milliers 2" xfId="5"/>
    <cellStyle name="Milliers 2 2" xfId="22"/>
    <cellStyle name="Milliers 2 3" xfId="142"/>
    <cellStyle name="Milliers 3" xfId="6"/>
    <cellStyle name="Milliers 3 2" xfId="23"/>
    <cellStyle name="Milliers 3 3" xfId="38"/>
    <cellStyle name="Milliers 4" xfId="124"/>
    <cellStyle name="Milliers 5" xfId="141"/>
    <cellStyle name="Milliers 6" xfId="146"/>
    <cellStyle name="Milliers 6 2" xfId="147"/>
    <cellStyle name="Milliers 6 3" xfId="148"/>
    <cellStyle name="Neutral" xfId="96"/>
    <cellStyle name="Normaali_Y8_Fin02" xfId="97"/>
    <cellStyle name="Normal" xfId="0" builtinId="0"/>
    <cellStyle name="Normal 10" xfId="123"/>
    <cellStyle name="Normal 11" xfId="24"/>
    <cellStyle name="Normal 12" xfId="25"/>
    <cellStyle name="Normal 13" xfId="122"/>
    <cellStyle name="Normal 14" xfId="154"/>
    <cellStyle name="Normal 2" xfId="7"/>
    <cellStyle name="Normal 2 2" xfId="8"/>
    <cellStyle name="Normal 2 2 2" xfId="28"/>
    <cellStyle name="Normal 2 2 3" xfId="27"/>
    <cellStyle name="Normal 2 2 4" xfId="126"/>
    <cellStyle name="Normal 2 2 5" xfId="143"/>
    <cellStyle name="Normal 2 3" xfId="29"/>
    <cellStyle name="Normal 2 3 2" xfId="99"/>
    <cellStyle name="Normal 2 3 3" xfId="134"/>
    <cellStyle name="Normal 2 3 4" xfId="145"/>
    <cellStyle name="Normal 2 4" xfId="26"/>
    <cellStyle name="Normal 2 5" xfId="98"/>
    <cellStyle name="Normal 2 6" xfId="125"/>
    <cellStyle name="Normal 2 7" xfId="157"/>
    <cellStyle name="Normal 2_TC_A1" xfId="100"/>
    <cellStyle name="Normal 3" xfId="9"/>
    <cellStyle name="Normal 3 2" xfId="10"/>
    <cellStyle name="Normal 3 2 2" xfId="31"/>
    <cellStyle name="Normal 3 2 3" xfId="102"/>
    <cellStyle name="Normal 3 2 4" xfId="128"/>
    <cellStyle name="Normal 3 2 5" xfId="161"/>
    <cellStyle name="Normal 3 3" xfId="30"/>
    <cellStyle name="Normal 3 3 2" xfId="135"/>
    <cellStyle name="Normal 3 3 3" xfId="162"/>
    <cellStyle name="Normal 3 4" xfId="101"/>
    <cellStyle name="Normal 3 5" xfId="127"/>
    <cellStyle name="Normal 3 6" xfId="155"/>
    <cellStyle name="Normal 4" xfId="17"/>
    <cellStyle name="Normal 4 2" xfId="11"/>
    <cellStyle name="Normal 4 3" xfId="32"/>
    <cellStyle name="Normal 4 4" xfId="132"/>
    <cellStyle name="Normal 5" xfId="12"/>
    <cellStyle name="Normal 5 2" xfId="42"/>
    <cellStyle name="Normal 5 3" xfId="129"/>
    <cellStyle name="Normal 6" xfId="33"/>
    <cellStyle name="Normal 6 2" xfId="34"/>
    <cellStyle name="Normal 6 3" xfId="136"/>
    <cellStyle name="Normal 7" xfId="35"/>
    <cellStyle name="Normal 7 2" xfId="149"/>
    <cellStyle name="Normal 7 3" xfId="150"/>
    <cellStyle name="Normal 8" xfId="18"/>
    <cellStyle name="Normal 8 2" xfId="121"/>
    <cellStyle name="Normal 8 3" xfId="133"/>
    <cellStyle name="Normal 9" xfId="40"/>
    <cellStyle name="Normal_RERS2004_06_01" xfId="13"/>
    <cellStyle name="Note" xfId="103"/>
    <cellStyle name="Note 2" xfId="139"/>
    <cellStyle name="Output" xfId="104"/>
    <cellStyle name="Percent 2" xfId="105"/>
    <cellStyle name="Percent 2 2" xfId="140"/>
    <cellStyle name="Percent_1 SubOverv.USd" xfId="106"/>
    <cellStyle name="Pourcentage" xfId="14" builtinId="5"/>
    <cellStyle name="Pourcentage 2" xfId="15"/>
    <cellStyle name="Pourcentage 2 2" xfId="36"/>
    <cellStyle name="Pourcentage 2 3" xfId="39"/>
    <cellStyle name="Pourcentage 2 4" xfId="130"/>
    <cellStyle name="Pourcentage 2 5" xfId="158"/>
    <cellStyle name="Pourcentage 3" xfId="16"/>
    <cellStyle name="Pourcentage 3 2" xfId="37"/>
    <cellStyle name="Pourcentage 3 3" xfId="131"/>
    <cellStyle name="Pourcentage 3 4" xfId="156"/>
    <cellStyle name="Pourcentage 4" xfId="107"/>
    <cellStyle name="Pourcentage 5" xfId="41"/>
    <cellStyle name="Pourcentage 5 2" xfId="151"/>
    <cellStyle name="Pourcentage 5 3" xfId="152"/>
    <cellStyle name="Pourcentage 6" xfId="153"/>
    <cellStyle name="Pourcentage 7" xfId="159"/>
    <cellStyle name="Prozent_SubCatperStud" xfId="108"/>
    <cellStyle name="row" xfId="109"/>
    <cellStyle name="RowCodes" xfId="110"/>
    <cellStyle name="Row-Col Headings" xfId="111"/>
    <cellStyle name="RowTitles_CENTRAL_GOVT" xfId="112"/>
    <cellStyle name="RowTitles-Col2" xfId="113"/>
    <cellStyle name="RowTitles-Detail" xfId="114"/>
    <cellStyle name="Standard_Info" xfId="115"/>
    <cellStyle name="temp" xfId="116"/>
    <cellStyle name="Title" xfId="117"/>
    <cellStyle name="title1" xfId="118"/>
    <cellStyle name="Warning Text" xfId="119"/>
  </cellStyles>
  <dxfs count="0"/>
  <tableStyles count="0" defaultTableStyle="TableStyleMedium2" defaultPivotStyle="PivotStyleLight16"/>
  <colors>
    <mruColors>
      <color rgb="FF00FFFF"/>
      <color rgb="FFFFFF00"/>
      <color rgb="FFFC12FC"/>
      <color rgb="FFF618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8305430788076767E-2"/>
          <c:y val="7.2089426321709782E-2"/>
          <c:w val="0.93657029508111667"/>
          <c:h val="0.65484139482564685"/>
        </c:manualLayout>
      </c:layout>
      <c:lineChart>
        <c:grouping val="standard"/>
        <c:varyColors val="0"/>
        <c:ser>
          <c:idx val="0"/>
          <c:order val="0"/>
          <c:tx>
            <c:strRef>
              <c:f>'Graphique 1'!$A$5</c:f>
              <c:strCache>
                <c:ptCount val="1"/>
                <c:pt idx="0">
                  <c:v>Université (1)</c:v>
                </c:pt>
              </c:strCache>
            </c:strRef>
          </c:tx>
          <c:spPr>
            <a:ln w="25400">
              <a:solidFill>
                <a:srgbClr val="FF0000"/>
              </a:solidFill>
              <a:prstDash val="solid"/>
            </a:ln>
          </c:spPr>
          <c:marker>
            <c:symbol val="none"/>
          </c:marker>
          <c:cat>
            <c:strRef>
              <c:f>'Graphique 1'!$B$4:$M$4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'Graphique 1'!$B$5:$M$5</c:f>
              <c:numCache>
                <c:formatCode>0.0</c:formatCode>
                <c:ptCount val="12"/>
                <c:pt idx="0">
                  <c:v>1429.7380000000001</c:v>
                </c:pt>
                <c:pt idx="1">
                  <c:v>1443.2840000000001</c:v>
                </c:pt>
                <c:pt idx="2">
                  <c:v>1479.337</c:v>
                </c:pt>
                <c:pt idx="3">
                  <c:v>1509.6189999999999</c:v>
                </c:pt>
                <c:pt idx="4">
                  <c:v>1552.2449999999999</c:v>
                </c:pt>
                <c:pt idx="5">
                  <c:v>1568.854</c:v>
                </c:pt>
                <c:pt idx="6">
                  <c:v>1584.8209999999999</c:v>
                </c:pt>
                <c:pt idx="7">
                  <c:v>1614.883</c:v>
                </c:pt>
                <c:pt idx="8">
                  <c:v>1635.35</c:v>
                </c:pt>
                <c:pt idx="9">
                  <c:v>1649.9780000000001</c:v>
                </c:pt>
                <c:pt idx="10">
                  <c:v>1656.914</c:v>
                </c:pt>
                <c:pt idx="11">
                  <c:v>1597.691</c:v>
                </c:pt>
              </c:numCache>
            </c:numRef>
          </c:val>
          <c:smooth val="0"/>
          <c:extLst>
            <c:ext xmlns:c16="http://schemas.microsoft.com/office/drawing/2014/chart" uri="{C3380CC4-5D6E-409C-BE32-E72D297353CC}">
              <c16:uniqueId val="{00000000-3ECD-4003-9943-F01778C9B27A}"/>
            </c:ext>
          </c:extLst>
        </c:ser>
        <c:ser>
          <c:idx val="2"/>
          <c:order val="1"/>
          <c:tx>
            <c:strRef>
              <c:f>'Graphique 1'!$A$6</c:f>
              <c:strCache>
                <c:ptCount val="1"/>
                <c:pt idx="0">
                  <c:v>Universités hors IUT</c:v>
                </c:pt>
              </c:strCache>
            </c:strRef>
          </c:tx>
          <c:spPr>
            <a:ln>
              <a:solidFill>
                <a:srgbClr val="0070C0"/>
              </a:solidFill>
            </a:ln>
          </c:spPr>
          <c:marker>
            <c:symbol val="none"/>
          </c:marker>
          <c:cat>
            <c:strRef>
              <c:f>'Graphique 1'!$B$4:$M$4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'Graphique 1'!$B$6:$M$6</c:f>
              <c:numCache>
                <c:formatCode>0.0</c:formatCode>
                <c:ptCount val="12"/>
                <c:pt idx="0">
                  <c:v>1314.7240000000002</c:v>
                </c:pt>
                <c:pt idx="1">
                  <c:v>1328.6070000000002</c:v>
                </c:pt>
                <c:pt idx="2">
                  <c:v>1363.559</c:v>
                </c:pt>
                <c:pt idx="3">
                  <c:v>1393.2239999999999</c:v>
                </c:pt>
                <c:pt idx="4">
                  <c:v>1436.0619999999999</c:v>
                </c:pt>
                <c:pt idx="5">
                  <c:v>1452.3030000000001</c:v>
                </c:pt>
                <c:pt idx="6">
                  <c:v>1468.07</c:v>
                </c:pt>
                <c:pt idx="7">
                  <c:v>1495.222</c:v>
                </c:pt>
                <c:pt idx="8">
                  <c:v>1514.799</c:v>
                </c:pt>
                <c:pt idx="9">
                  <c:v>1529.048</c:v>
                </c:pt>
                <c:pt idx="10">
                  <c:v>1541.8579999999999</c:v>
                </c:pt>
                <c:pt idx="11">
                  <c:v>1490.4349999999999</c:v>
                </c:pt>
              </c:numCache>
            </c:numRef>
          </c:val>
          <c:smooth val="0"/>
          <c:extLst>
            <c:ext xmlns:c16="http://schemas.microsoft.com/office/drawing/2014/chart" uri="{C3380CC4-5D6E-409C-BE32-E72D297353CC}">
              <c16:uniqueId val="{00000002-3ECD-4003-9943-F01778C9B27A}"/>
            </c:ext>
          </c:extLst>
        </c:ser>
        <c:ser>
          <c:idx val="1"/>
          <c:order val="2"/>
          <c:tx>
            <c:strRef>
              <c:f>'Graphique 1'!$A$7</c:f>
              <c:strCache>
                <c:ptCount val="1"/>
                <c:pt idx="0">
                  <c:v>Total enseignement supérieur</c:v>
                </c:pt>
              </c:strCache>
            </c:strRef>
          </c:tx>
          <c:spPr>
            <a:ln w="25400">
              <a:solidFill>
                <a:schemeClr val="tx1">
                  <a:lumMod val="50000"/>
                  <a:lumOff val="50000"/>
                </a:schemeClr>
              </a:solidFill>
              <a:prstDash val="solid"/>
            </a:ln>
          </c:spPr>
          <c:marker>
            <c:symbol val="none"/>
          </c:marker>
          <c:cat>
            <c:strRef>
              <c:f>'Graphique 1'!$B$4:$M$4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'Graphique 1'!$B$7:$M$7</c:f>
              <c:numCache>
                <c:formatCode>0.0</c:formatCode>
                <c:ptCount val="12"/>
                <c:pt idx="0">
                  <c:v>2385.0509999999999</c:v>
                </c:pt>
                <c:pt idx="1">
                  <c:v>2421.5729999999999</c:v>
                </c:pt>
                <c:pt idx="2">
                  <c:v>2472.799</c:v>
                </c:pt>
                <c:pt idx="3">
                  <c:v>2507.8029999999999</c:v>
                </c:pt>
                <c:pt idx="4">
                  <c:v>2569.8960000000002</c:v>
                </c:pt>
                <c:pt idx="5">
                  <c:v>2617.3159999999998</c:v>
                </c:pt>
                <c:pt idx="6">
                  <c:v>2689.8090000000002</c:v>
                </c:pt>
                <c:pt idx="7">
                  <c:v>2754.5859999999998</c:v>
                </c:pt>
                <c:pt idx="8">
                  <c:v>2807.002</c:v>
                </c:pt>
                <c:pt idx="9">
                  <c:v>2895.4940000000001</c:v>
                </c:pt>
                <c:pt idx="10">
                  <c:v>2979.163</c:v>
                </c:pt>
                <c:pt idx="11">
                  <c:v>2935.297</c:v>
                </c:pt>
              </c:numCache>
            </c:numRef>
          </c:val>
          <c:smooth val="0"/>
          <c:extLst>
            <c:ext xmlns:c16="http://schemas.microsoft.com/office/drawing/2014/chart" uri="{C3380CC4-5D6E-409C-BE32-E72D297353CC}">
              <c16:uniqueId val="{00000001-3ECD-4003-9943-F01778C9B27A}"/>
            </c:ext>
          </c:extLst>
        </c:ser>
        <c:dLbls>
          <c:showLegendKey val="0"/>
          <c:showVal val="0"/>
          <c:showCatName val="0"/>
          <c:showSerName val="0"/>
          <c:showPercent val="0"/>
          <c:showBubbleSize val="0"/>
        </c:dLbls>
        <c:smooth val="0"/>
        <c:axId val="226113408"/>
        <c:axId val="226114944"/>
      </c:lineChart>
      <c:catAx>
        <c:axId val="2261134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226114944"/>
        <c:crosses val="autoZero"/>
        <c:auto val="1"/>
        <c:lblAlgn val="ctr"/>
        <c:lblOffset val="100"/>
        <c:tickLblSkip val="1"/>
        <c:tickMarkSkip val="1"/>
        <c:noMultiLvlLbl val="0"/>
      </c:catAx>
      <c:valAx>
        <c:axId val="226114944"/>
        <c:scaling>
          <c:orientation val="minMax"/>
          <c:max val="3200"/>
          <c:min val="1300"/>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226113408"/>
        <c:crosses val="autoZero"/>
        <c:crossBetween val="between"/>
      </c:valAx>
      <c:spPr>
        <a:noFill/>
        <a:ln w="25400">
          <a:noFill/>
        </a:ln>
      </c:spPr>
    </c:plotArea>
    <c:legend>
      <c:legendPos val="r"/>
      <c:layout>
        <c:manualLayout>
          <c:xMode val="edge"/>
          <c:yMode val="edge"/>
          <c:x val="8.1995150040416326E-3"/>
          <c:y val="0.80837326584176983"/>
          <c:w val="0.19719325255622869"/>
          <c:h val="0.11392519685039371"/>
        </c:manualLayout>
      </c:layout>
      <c:overlay val="0"/>
      <c:spPr>
        <a:solidFill>
          <a:srgbClr val="FFFFFF"/>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15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242849383046162E-2"/>
          <c:y val="9.5898903373671865E-2"/>
          <c:w val="0.93657029508111667"/>
          <c:h val="0.6048413727048445"/>
        </c:manualLayout>
      </c:layout>
      <c:lineChart>
        <c:grouping val="standard"/>
        <c:varyColors val="0"/>
        <c:ser>
          <c:idx val="0"/>
          <c:order val="0"/>
          <c:tx>
            <c:strRef>
              <c:f>'Graphique 8'!$A$4</c:f>
              <c:strCache>
                <c:ptCount val="1"/>
                <c:pt idx="0">
                  <c:v>Université (1)</c:v>
                </c:pt>
              </c:strCache>
            </c:strRef>
          </c:tx>
          <c:spPr>
            <a:ln w="25400">
              <a:solidFill>
                <a:srgbClr val="FF0000"/>
              </a:solidFill>
              <a:prstDash val="solid"/>
            </a:ln>
          </c:spPr>
          <c:marker>
            <c:symbol val="none"/>
          </c:marker>
          <c:cat>
            <c:strRef>
              <c:f>'Graphique 8'!$B$3:$K$3</c:f>
              <c:strCache>
                <c:ptCount val="10"/>
                <c:pt idx="0">
                  <c:v>2013-14</c:v>
                </c:pt>
                <c:pt idx="1">
                  <c:v>2014-15</c:v>
                </c:pt>
                <c:pt idx="2">
                  <c:v>2015-16</c:v>
                </c:pt>
                <c:pt idx="3">
                  <c:v>2016-17</c:v>
                </c:pt>
                <c:pt idx="4">
                  <c:v>2017-18</c:v>
                </c:pt>
                <c:pt idx="5">
                  <c:v>2018-19</c:v>
                </c:pt>
                <c:pt idx="6">
                  <c:v>2019-2020</c:v>
                </c:pt>
                <c:pt idx="7">
                  <c:v>2020-2021</c:v>
                </c:pt>
                <c:pt idx="8">
                  <c:v>2021-2022</c:v>
                </c:pt>
                <c:pt idx="9">
                  <c:v>2022-2023</c:v>
                </c:pt>
              </c:strCache>
            </c:strRef>
          </c:cat>
          <c:val>
            <c:numRef>
              <c:f>'Graphique 8'!$B$4:$K$4</c:f>
              <c:numCache>
                <c:formatCode>0.0%</c:formatCode>
                <c:ptCount val="10"/>
                <c:pt idx="0">
                  <c:v>0.129</c:v>
                </c:pt>
                <c:pt idx="1">
                  <c:v>0.126</c:v>
                </c:pt>
                <c:pt idx="2">
                  <c:v>0.125</c:v>
                </c:pt>
                <c:pt idx="3">
                  <c:v>0.123</c:v>
                </c:pt>
                <c:pt idx="4">
                  <c:v>0.13</c:v>
                </c:pt>
                <c:pt idx="5">
                  <c:v>0.13300000000000001</c:v>
                </c:pt>
                <c:pt idx="6">
                  <c:v>0.13100000000000001</c:v>
                </c:pt>
                <c:pt idx="7">
                  <c:v>0.12189999999999999</c:v>
                </c:pt>
                <c:pt idx="8">
                  <c:v>0.129222123573315</c:v>
                </c:pt>
                <c:pt idx="9">
                  <c:v>0.13464356999999999</c:v>
                </c:pt>
              </c:numCache>
            </c:numRef>
          </c:val>
          <c:smooth val="0"/>
          <c:extLst>
            <c:ext xmlns:c16="http://schemas.microsoft.com/office/drawing/2014/chart" uri="{C3380CC4-5D6E-409C-BE32-E72D297353CC}">
              <c16:uniqueId val="{00000000-0E1F-4A6C-AF77-B9ECA5A661D5}"/>
            </c:ext>
          </c:extLst>
        </c:ser>
        <c:ser>
          <c:idx val="1"/>
          <c:order val="1"/>
          <c:tx>
            <c:strRef>
              <c:f>'Graphique 8'!$A$5</c:f>
              <c:strCache>
                <c:ptCount val="1"/>
                <c:pt idx="0">
                  <c:v>IUT</c:v>
                </c:pt>
              </c:strCache>
            </c:strRef>
          </c:tx>
          <c:spPr>
            <a:ln w="25400">
              <a:solidFill>
                <a:srgbClr val="FF00FF"/>
              </a:solidFill>
              <a:prstDash val="solid"/>
            </a:ln>
          </c:spPr>
          <c:marker>
            <c:symbol val="none"/>
          </c:marker>
          <c:cat>
            <c:strRef>
              <c:f>'Graphique 8'!$B$3:$K$3</c:f>
              <c:strCache>
                <c:ptCount val="10"/>
                <c:pt idx="0">
                  <c:v>2013-14</c:v>
                </c:pt>
                <c:pt idx="1">
                  <c:v>2014-15</c:v>
                </c:pt>
                <c:pt idx="2">
                  <c:v>2015-16</c:v>
                </c:pt>
                <c:pt idx="3">
                  <c:v>2016-17</c:v>
                </c:pt>
                <c:pt idx="4">
                  <c:v>2017-18</c:v>
                </c:pt>
                <c:pt idx="5">
                  <c:v>2018-19</c:v>
                </c:pt>
                <c:pt idx="6">
                  <c:v>2019-2020</c:v>
                </c:pt>
                <c:pt idx="7">
                  <c:v>2020-2021</c:v>
                </c:pt>
                <c:pt idx="8">
                  <c:v>2021-2022</c:v>
                </c:pt>
                <c:pt idx="9">
                  <c:v>2022-2023</c:v>
                </c:pt>
              </c:strCache>
            </c:strRef>
          </c:cat>
          <c:val>
            <c:numRef>
              <c:f>'Graphique 8'!$B$5:$K$5</c:f>
              <c:numCache>
                <c:formatCode>0.0%</c:formatCode>
                <c:ptCount val="10"/>
                <c:pt idx="0">
                  <c:v>3.9E-2</c:v>
                </c:pt>
                <c:pt idx="1">
                  <c:v>3.7999999999999999E-2</c:v>
                </c:pt>
                <c:pt idx="2">
                  <c:v>3.6999999999999998E-2</c:v>
                </c:pt>
                <c:pt idx="3">
                  <c:v>3.5999999999999997E-2</c:v>
                </c:pt>
                <c:pt idx="4">
                  <c:v>3.4000000000000002E-2</c:v>
                </c:pt>
                <c:pt idx="5">
                  <c:v>3.1E-2</c:v>
                </c:pt>
                <c:pt idx="6">
                  <c:v>3.1E-2</c:v>
                </c:pt>
                <c:pt idx="7">
                  <c:v>2.64E-2</c:v>
                </c:pt>
                <c:pt idx="8">
                  <c:v>2.6126408010012515E-2</c:v>
                </c:pt>
                <c:pt idx="9">
                  <c:v>2.9303720000000002E-2</c:v>
                </c:pt>
              </c:numCache>
            </c:numRef>
          </c:val>
          <c:smooth val="0"/>
          <c:extLst>
            <c:ext xmlns:c16="http://schemas.microsoft.com/office/drawing/2014/chart" uri="{C3380CC4-5D6E-409C-BE32-E72D297353CC}">
              <c16:uniqueId val="{00000001-0E1F-4A6C-AF77-B9ECA5A661D5}"/>
            </c:ext>
          </c:extLst>
        </c:ser>
        <c:ser>
          <c:idx val="2"/>
          <c:order val="2"/>
          <c:tx>
            <c:strRef>
              <c:f>'Graphique 8'!$A$6</c:f>
              <c:strCache>
                <c:ptCount val="1"/>
                <c:pt idx="0">
                  <c:v>Formations d'ingénieur (2)</c:v>
                </c:pt>
              </c:strCache>
            </c:strRef>
          </c:tx>
          <c:spPr>
            <a:ln w="25400">
              <a:solidFill>
                <a:srgbClr val="0000FF"/>
              </a:solidFill>
              <a:prstDash val="solid"/>
            </a:ln>
          </c:spPr>
          <c:marker>
            <c:symbol val="none"/>
          </c:marker>
          <c:cat>
            <c:strRef>
              <c:f>'Graphique 8'!$B$3:$K$3</c:f>
              <c:strCache>
                <c:ptCount val="10"/>
                <c:pt idx="0">
                  <c:v>2013-14</c:v>
                </c:pt>
                <c:pt idx="1">
                  <c:v>2014-15</c:v>
                </c:pt>
                <c:pt idx="2">
                  <c:v>2015-16</c:v>
                </c:pt>
                <c:pt idx="3">
                  <c:v>2016-17</c:v>
                </c:pt>
                <c:pt idx="4">
                  <c:v>2017-18</c:v>
                </c:pt>
                <c:pt idx="5">
                  <c:v>2018-19</c:v>
                </c:pt>
                <c:pt idx="6">
                  <c:v>2019-2020</c:v>
                </c:pt>
                <c:pt idx="7">
                  <c:v>2020-2021</c:v>
                </c:pt>
                <c:pt idx="8">
                  <c:v>2021-2022</c:v>
                </c:pt>
                <c:pt idx="9">
                  <c:v>2022-2023</c:v>
                </c:pt>
              </c:strCache>
            </c:strRef>
          </c:cat>
          <c:val>
            <c:numRef>
              <c:f>'Graphique 8'!$B$6:$K$6</c:f>
              <c:numCache>
                <c:formatCode>0.0%</c:formatCode>
                <c:ptCount val="10"/>
                <c:pt idx="0">
                  <c:v>0.107</c:v>
                </c:pt>
                <c:pt idx="1">
                  <c:v>0.106</c:v>
                </c:pt>
                <c:pt idx="2">
                  <c:v>0.107</c:v>
                </c:pt>
                <c:pt idx="3">
                  <c:v>0.111</c:v>
                </c:pt>
                <c:pt idx="4">
                  <c:v>0.104</c:v>
                </c:pt>
                <c:pt idx="5">
                  <c:v>0.108</c:v>
                </c:pt>
                <c:pt idx="6">
                  <c:v>0.112</c:v>
                </c:pt>
                <c:pt idx="7">
                  <c:v>0.109</c:v>
                </c:pt>
                <c:pt idx="8">
                  <c:v>0.10874939615242533</c:v>
                </c:pt>
                <c:pt idx="9">
                  <c:v>0.11297523</c:v>
                </c:pt>
              </c:numCache>
            </c:numRef>
          </c:val>
          <c:smooth val="0"/>
          <c:extLst>
            <c:ext xmlns:c16="http://schemas.microsoft.com/office/drawing/2014/chart" uri="{C3380CC4-5D6E-409C-BE32-E72D297353CC}">
              <c16:uniqueId val="{00000002-0E1F-4A6C-AF77-B9ECA5A661D5}"/>
            </c:ext>
          </c:extLst>
        </c:ser>
        <c:ser>
          <c:idx val="5"/>
          <c:order val="3"/>
          <c:tx>
            <c:strRef>
              <c:f>'Graphique 8'!$A$7</c:f>
              <c:strCache>
                <c:ptCount val="1"/>
                <c:pt idx="0">
                  <c:v>STS (scolaires) et CPGE</c:v>
                </c:pt>
              </c:strCache>
            </c:strRef>
          </c:tx>
          <c:spPr>
            <a:ln w="25400">
              <a:solidFill>
                <a:srgbClr val="800000"/>
              </a:solidFill>
              <a:prstDash val="solid"/>
            </a:ln>
          </c:spPr>
          <c:marker>
            <c:symbol val="none"/>
          </c:marker>
          <c:cat>
            <c:strRef>
              <c:f>'Graphique 8'!$B$3:$K$3</c:f>
              <c:strCache>
                <c:ptCount val="10"/>
                <c:pt idx="0">
                  <c:v>2013-14</c:v>
                </c:pt>
                <c:pt idx="1">
                  <c:v>2014-15</c:v>
                </c:pt>
                <c:pt idx="2">
                  <c:v>2015-16</c:v>
                </c:pt>
                <c:pt idx="3">
                  <c:v>2016-17</c:v>
                </c:pt>
                <c:pt idx="4">
                  <c:v>2017-18</c:v>
                </c:pt>
                <c:pt idx="5">
                  <c:v>2018-19</c:v>
                </c:pt>
                <c:pt idx="6">
                  <c:v>2019-2020</c:v>
                </c:pt>
                <c:pt idx="7">
                  <c:v>2020-2021</c:v>
                </c:pt>
                <c:pt idx="8">
                  <c:v>2021-2022</c:v>
                </c:pt>
                <c:pt idx="9">
                  <c:v>2022-2023</c:v>
                </c:pt>
              </c:strCache>
            </c:strRef>
          </c:cat>
          <c:val>
            <c:numRef>
              <c:f>'Graphique 8'!$B$7:$K$7</c:f>
              <c:numCache>
                <c:formatCode>0.0%</c:formatCode>
                <c:ptCount val="10"/>
                <c:pt idx="0">
                  <c:v>6.0000000000000001E-3</c:v>
                </c:pt>
                <c:pt idx="1">
                  <c:v>7.0000000000000001E-3</c:v>
                </c:pt>
                <c:pt idx="2">
                  <c:v>8.0000000000000002E-3</c:v>
                </c:pt>
                <c:pt idx="3">
                  <c:v>8.0000000000000002E-3</c:v>
                </c:pt>
                <c:pt idx="4">
                  <c:v>8.9999999999999993E-3</c:v>
                </c:pt>
                <c:pt idx="5">
                  <c:v>0.01</c:v>
                </c:pt>
                <c:pt idx="6">
                  <c:v>8.9999999999999993E-3</c:v>
                </c:pt>
                <c:pt idx="7">
                  <c:v>1.128E-2</c:v>
                </c:pt>
                <c:pt idx="8">
                  <c:v>1.6412474807102905E-2</c:v>
                </c:pt>
                <c:pt idx="9">
                  <c:v>2.0209700000000001E-2</c:v>
                </c:pt>
              </c:numCache>
            </c:numRef>
          </c:val>
          <c:smooth val="0"/>
          <c:extLst>
            <c:ext xmlns:c16="http://schemas.microsoft.com/office/drawing/2014/chart" uri="{C3380CC4-5D6E-409C-BE32-E72D297353CC}">
              <c16:uniqueId val="{00000003-0E1F-4A6C-AF77-B9ECA5A661D5}"/>
            </c:ext>
          </c:extLst>
        </c:ser>
        <c:ser>
          <c:idx val="6"/>
          <c:order val="4"/>
          <c:tx>
            <c:strRef>
              <c:f>'Graphique 8'!$A$8</c:f>
              <c:strCache>
                <c:ptCount val="1"/>
                <c:pt idx="0">
                  <c:v>Écoles de commerce, gestion et comptabilité</c:v>
                </c:pt>
              </c:strCache>
            </c:strRef>
          </c:tx>
          <c:spPr>
            <a:ln w="25400">
              <a:solidFill>
                <a:srgbClr val="000000"/>
              </a:solidFill>
              <a:prstDash val="solid"/>
            </a:ln>
          </c:spPr>
          <c:marker>
            <c:symbol val="none"/>
          </c:marker>
          <c:cat>
            <c:strRef>
              <c:f>'Graphique 8'!$B$3:$K$3</c:f>
              <c:strCache>
                <c:ptCount val="10"/>
                <c:pt idx="0">
                  <c:v>2013-14</c:v>
                </c:pt>
                <c:pt idx="1">
                  <c:v>2014-15</c:v>
                </c:pt>
                <c:pt idx="2">
                  <c:v>2015-16</c:v>
                </c:pt>
                <c:pt idx="3">
                  <c:v>2016-17</c:v>
                </c:pt>
                <c:pt idx="4">
                  <c:v>2017-18</c:v>
                </c:pt>
                <c:pt idx="5">
                  <c:v>2018-19</c:v>
                </c:pt>
                <c:pt idx="6">
                  <c:v>2019-2020</c:v>
                </c:pt>
                <c:pt idx="7">
                  <c:v>2020-2021</c:v>
                </c:pt>
                <c:pt idx="8">
                  <c:v>2021-2022</c:v>
                </c:pt>
                <c:pt idx="9">
                  <c:v>2022-2023</c:v>
                </c:pt>
              </c:strCache>
            </c:strRef>
          </c:cat>
          <c:val>
            <c:numRef>
              <c:f>'Graphique 8'!$B$8:$K$8</c:f>
              <c:numCache>
                <c:formatCode>0.0%</c:formatCode>
                <c:ptCount val="10"/>
                <c:pt idx="0">
                  <c:v>0.123</c:v>
                </c:pt>
                <c:pt idx="1">
                  <c:v>0.129</c:v>
                </c:pt>
                <c:pt idx="2">
                  <c:v>0.128</c:v>
                </c:pt>
                <c:pt idx="3">
                  <c:v>0.14000000000000001</c:v>
                </c:pt>
                <c:pt idx="4">
                  <c:v>0.14799999999999999</c:v>
                </c:pt>
                <c:pt idx="5">
                  <c:v>0.16500000000000001</c:v>
                </c:pt>
                <c:pt idx="6">
                  <c:v>0.17399999999999999</c:v>
                </c:pt>
                <c:pt idx="7">
                  <c:v>0.1646</c:v>
                </c:pt>
                <c:pt idx="8">
                  <c:v>0.18702340829451466</c:v>
                </c:pt>
                <c:pt idx="9">
                  <c:v>0.18869102999999998</c:v>
                </c:pt>
              </c:numCache>
            </c:numRef>
          </c:val>
          <c:smooth val="0"/>
          <c:extLst>
            <c:ext xmlns:c16="http://schemas.microsoft.com/office/drawing/2014/chart" uri="{C3380CC4-5D6E-409C-BE32-E72D297353CC}">
              <c16:uniqueId val="{00000004-0E1F-4A6C-AF77-B9ECA5A661D5}"/>
            </c:ext>
          </c:extLst>
        </c:ser>
        <c:ser>
          <c:idx val="4"/>
          <c:order val="5"/>
          <c:tx>
            <c:strRef>
              <c:f>'Graphique 8'!$A$9</c:f>
              <c:strCache>
                <c:ptCount val="1"/>
                <c:pt idx="0">
                  <c:v>Total enseignement supérieur (3)</c:v>
                </c:pt>
              </c:strCache>
            </c:strRef>
          </c:tx>
          <c:marker>
            <c:symbol val="none"/>
          </c:marker>
          <c:cat>
            <c:strRef>
              <c:f>'Graphique 8'!$B$3:$K$3</c:f>
              <c:strCache>
                <c:ptCount val="10"/>
                <c:pt idx="0">
                  <c:v>2013-14</c:v>
                </c:pt>
                <c:pt idx="1">
                  <c:v>2014-15</c:v>
                </c:pt>
                <c:pt idx="2">
                  <c:v>2015-16</c:v>
                </c:pt>
                <c:pt idx="3">
                  <c:v>2016-17</c:v>
                </c:pt>
                <c:pt idx="4">
                  <c:v>2017-18</c:v>
                </c:pt>
                <c:pt idx="5">
                  <c:v>2018-19</c:v>
                </c:pt>
                <c:pt idx="6">
                  <c:v>2019-2020</c:v>
                </c:pt>
                <c:pt idx="7">
                  <c:v>2020-2021</c:v>
                </c:pt>
                <c:pt idx="8">
                  <c:v>2021-2022</c:v>
                </c:pt>
                <c:pt idx="9">
                  <c:v>2022-2023</c:v>
                </c:pt>
              </c:strCache>
            </c:strRef>
          </c:cat>
          <c:val>
            <c:numRef>
              <c:f>'Graphique 8'!$B$9:$K$9</c:f>
              <c:numCache>
                <c:formatCode>0.0%</c:formatCode>
                <c:ptCount val="10"/>
                <c:pt idx="0">
                  <c:v>9.7000000000000003E-2</c:v>
                </c:pt>
                <c:pt idx="1">
                  <c:v>9.7000000000000003E-2</c:v>
                </c:pt>
                <c:pt idx="2">
                  <c:v>9.7000000000000003E-2</c:v>
                </c:pt>
                <c:pt idx="3">
                  <c:v>0.1</c:v>
                </c:pt>
                <c:pt idx="4">
                  <c:v>0.10299999999999999</c:v>
                </c:pt>
                <c:pt idx="5">
                  <c:v>0.106</c:v>
                </c:pt>
                <c:pt idx="6">
                  <c:v>0.107</c:v>
                </c:pt>
                <c:pt idx="7">
                  <c:v>9.9919999999999995E-2</c:v>
                </c:pt>
                <c:pt idx="8">
                  <c:v>0.10769951552427499</c:v>
                </c:pt>
                <c:pt idx="9">
                  <c:v>0.11274158999999999</c:v>
                </c:pt>
              </c:numCache>
            </c:numRef>
          </c:val>
          <c:smooth val="0"/>
          <c:extLst>
            <c:ext xmlns:c16="http://schemas.microsoft.com/office/drawing/2014/chart" uri="{C3380CC4-5D6E-409C-BE32-E72D297353CC}">
              <c16:uniqueId val="{00000005-0E1F-4A6C-AF77-B9ECA5A661D5}"/>
            </c:ext>
          </c:extLst>
        </c:ser>
        <c:dLbls>
          <c:showLegendKey val="0"/>
          <c:showVal val="0"/>
          <c:showCatName val="0"/>
          <c:showSerName val="0"/>
          <c:showPercent val="0"/>
          <c:showBubbleSize val="0"/>
        </c:dLbls>
        <c:smooth val="0"/>
        <c:axId val="226113408"/>
        <c:axId val="226114944"/>
      </c:lineChart>
      <c:catAx>
        <c:axId val="2261134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226114944"/>
        <c:crosses val="autoZero"/>
        <c:auto val="1"/>
        <c:lblAlgn val="ctr"/>
        <c:lblOffset val="100"/>
        <c:tickLblSkip val="1"/>
        <c:tickMarkSkip val="1"/>
        <c:noMultiLvlLbl val="0"/>
      </c:catAx>
      <c:valAx>
        <c:axId val="226114944"/>
        <c:scaling>
          <c:orientation val="minMax"/>
          <c:max val="0.2"/>
          <c:min val="0"/>
        </c:scaling>
        <c:delete val="0"/>
        <c:axPos val="l"/>
        <c:majorGridlines>
          <c:spPr>
            <a:ln w="3175">
              <a:solidFill>
                <a:schemeClr val="bg1">
                  <a:lumMod val="75000"/>
                </a:schemeClr>
              </a:solidFill>
              <a:prstDash val="solid"/>
            </a:ln>
          </c:spPr>
        </c:majorGridlines>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226113408"/>
        <c:crosses val="autoZero"/>
        <c:crossBetween val="between"/>
        <c:majorUnit val="2.0000000000000004E-2"/>
      </c:valAx>
      <c:spPr>
        <a:noFill/>
        <a:ln w="25400">
          <a:noFill/>
        </a:ln>
      </c:spPr>
    </c:plotArea>
    <c:legend>
      <c:legendPos val="r"/>
      <c:layout>
        <c:manualLayout>
          <c:xMode val="edge"/>
          <c:yMode val="edge"/>
          <c:x val="2.9079110047704609E-3"/>
          <c:y val="0.75361140089786471"/>
          <c:w val="0.97995171209336429"/>
          <c:h val="0.1042878183324422"/>
        </c:manualLayout>
      </c:layout>
      <c:overlay val="0"/>
      <c:spPr>
        <a:solidFill>
          <a:srgbClr val="FFFFFF"/>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15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398556078613497"/>
          <c:y val="4.2861097440944879E-2"/>
          <c:w val="0.7907780428250758"/>
          <c:h val="0.91507874015748036"/>
        </c:manualLayout>
      </c:layout>
      <c:doughnutChart>
        <c:varyColors val="1"/>
        <c:ser>
          <c:idx val="1"/>
          <c:order val="0"/>
          <c:tx>
            <c:v>Continent</c:v>
          </c:tx>
          <c:dPt>
            <c:idx val="0"/>
            <c:bubble3D val="0"/>
            <c:spPr>
              <a:solidFill>
                <a:schemeClr val="accent5">
                  <a:lumMod val="50000"/>
                </a:schemeClr>
              </a:solidFill>
            </c:spPr>
            <c:extLst>
              <c:ext xmlns:c16="http://schemas.microsoft.com/office/drawing/2014/chart" uri="{C3380CC4-5D6E-409C-BE32-E72D297353CC}">
                <c16:uniqueId val="{00000001-7AC6-4202-BF6C-69709D0BE73C}"/>
              </c:ext>
            </c:extLst>
          </c:dPt>
          <c:dPt>
            <c:idx val="1"/>
            <c:bubble3D val="0"/>
            <c:spPr>
              <a:solidFill>
                <a:schemeClr val="accent6">
                  <a:lumMod val="75000"/>
                </a:schemeClr>
              </a:solidFill>
            </c:spPr>
            <c:extLst>
              <c:ext xmlns:c16="http://schemas.microsoft.com/office/drawing/2014/chart" uri="{C3380CC4-5D6E-409C-BE32-E72D297353CC}">
                <c16:uniqueId val="{00000003-7AC6-4202-BF6C-69709D0BE73C}"/>
              </c:ext>
            </c:extLst>
          </c:dPt>
          <c:dPt>
            <c:idx val="2"/>
            <c:bubble3D val="0"/>
            <c:spPr>
              <a:solidFill>
                <a:schemeClr val="accent3">
                  <a:lumMod val="50000"/>
                </a:schemeClr>
              </a:solidFill>
            </c:spPr>
            <c:extLst>
              <c:ext xmlns:c16="http://schemas.microsoft.com/office/drawing/2014/chart" uri="{C3380CC4-5D6E-409C-BE32-E72D297353CC}">
                <c16:uniqueId val="{00000005-7AC6-4202-BF6C-69709D0BE73C}"/>
              </c:ext>
            </c:extLst>
          </c:dPt>
          <c:dPt>
            <c:idx val="3"/>
            <c:bubble3D val="0"/>
            <c:spPr>
              <a:solidFill>
                <a:schemeClr val="accent4">
                  <a:lumMod val="50000"/>
                </a:schemeClr>
              </a:solidFill>
            </c:spPr>
            <c:extLst>
              <c:ext xmlns:c16="http://schemas.microsoft.com/office/drawing/2014/chart" uri="{C3380CC4-5D6E-409C-BE32-E72D297353CC}">
                <c16:uniqueId val="{00000007-7AC6-4202-BF6C-69709D0BE73C}"/>
              </c:ext>
            </c:extLst>
          </c:dPt>
          <c:dPt>
            <c:idx val="4"/>
            <c:bubble3D val="0"/>
            <c:extLst>
              <c:ext xmlns:c16="http://schemas.microsoft.com/office/drawing/2014/chart" uri="{C3380CC4-5D6E-409C-BE32-E72D297353CC}">
                <c16:uniqueId val="{00000008-7AC6-4202-BF6C-69709D0BE73C}"/>
              </c:ext>
            </c:extLst>
          </c:dPt>
          <c:dPt>
            <c:idx val="5"/>
            <c:bubble3D val="0"/>
            <c:extLst>
              <c:ext xmlns:c16="http://schemas.microsoft.com/office/drawing/2014/chart" uri="{C3380CC4-5D6E-409C-BE32-E72D297353CC}">
                <c16:uniqueId val="{00000009-7AC6-4202-BF6C-69709D0BE73C}"/>
              </c:ext>
            </c:extLst>
          </c:dPt>
          <c:dPt>
            <c:idx val="6"/>
            <c:bubble3D val="0"/>
            <c:extLst>
              <c:ext xmlns:c16="http://schemas.microsoft.com/office/drawing/2014/chart" uri="{C3380CC4-5D6E-409C-BE32-E72D297353CC}">
                <c16:uniqueId val="{0000000A-7AC6-4202-BF6C-69709D0BE73C}"/>
              </c:ext>
            </c:extLst>
          </c:dPt>
          <c:dPt>
            <c:idx val="7"/>
            <c:bubble3D val="0"/>
            <c:extLst>
              <c:ext xmlns:c16="http://schemas.microsoft.com/office/drawing/2014/chart" uri="{C3380CC4-5D6E-409C-BE32-E72D297353CC}">
                <c16:uniqueId val="{0000000B-7AC6-4202-BF6C-69709D0BE73C}"/>
              </c:ext>
            </c:extLst>
          </c:dPt>
          <c:dPt>
            <c:idx val="8"/>
            <c:bubble3D val="0"/>
            <c:extLst>
              <c:ext xmlns:c16="http://schemas.microsoft.com/office/drawing/2014/chart" uri="{C3380CC4-5D6E-409C-BE32-E72D297353CC}">
                <c16:uniqueId val="{0000000C-7AC6-4202-BF6C-69709D0BE73C}"/>
              </c:ext>
            </c:extLst>
          </c:dPt>
          <c:dPt>
            <c:idx val="9"/>
            <c:bubble3D val="0"/>
            <c:extLst>
              <c:ext xmlns:c16="http://schemas.microsoft.com/office/drawing/2014/chart" uri="{C3380CC4-5D6E-409C-BE32-E72D297353CC}">
                <c16:uniqueId val="{0000000D-7AC6-4202-BF6C-69709D0BE73C}"/>
              </c:ext>
            </c:extLst>
          </c:dPt>
          <c:dPt>
            <c:idx val="10"/>
            <c:bubble3D val="0"/>
            <c:extLst>
              <c:ext xmlns:c16="http://schemas.microsoft.com/office/drawing/2014/chart" uri="{C3380CC4-5D6E-409C-BE32-E72D297353CC}">
                <c16:uniqueId val="{0000000E-7AC6-4202-BF6C-69709D0BE73C}"/>
              </c:ext>
            </c:extLst>
          </c:dPt>
          <c:cat>
            <c:strRef>
              <c:f>'Annexe 4'!$A$4:$A$14</c:f>
              <c:strCache>
                <c:ptCount val="11"/>
                <c:pt idx="0">
                  <c:v>Maroc</c:v>
                </c:pt>
                <c:pt idx="1">
                  <c:v>Algérie</c:v>
                </c:pt>
                <c:pt idx="2">
                  <c:v>Tunisie</c:v>
                </c:pt>
                <c:pt idx="3">
                  <c:v>Sénégal</c:v>
                </c:pt>
                <c:pt idx="4">
                  <c:v>Autres Afrique</c:v>
                </c:pt>
                <c:pt idx="5">
                  <c:v>Chine</c:v>
                </c:pt>
                <c:pt idx="6">
                  <c:v>Autres Asie, Océanie</c:v>
                </c:pt>
                <c:pt idx="7">
                  <c:v>Allemagne</c:v>
                </c:pt>
                <c:pt idx="8">
                  <c:v>Italie</c:v>
                </c:pt>
                <c:pt idx="9">
                  <c:v>Autres Europe</c:v>
                </c:pt>
                <c:pt idx="10">
                  <c:v>Amérique</c:v>
                </c:pt>
              </c:strCache>
            </c:strRef>
          </c:cat>
          <c:val>
            <c:numRef>
              <c:f>'Annexe 4'!$B$15:$B$18</c:f>
              <c:numCache>
                <c:formatCode>0%</c:formatCode>
                <c:ptCount val="4"/>
                <c:pt idx="0">
                  <c:v>0.5</c:v>
                </c:pt>
                <c:pt idx="1">
                  <c:v>0.22</c:v>
                </c:pt>
                <c:pt idx="2">
                  <c:v>0.19</c:v>
                </c:pt>
                <c:pt idx="3">
                  <c:v>0.09</c:v>
                </c:pt>
              </c:numCache>
            </c:numRef>
          </c:val>
          <c:extLst>
            <c:ext xmlns:c16="http://schemas.microsoft.com/office/drawing/2014/chart" uri="{C3380CC4-5D6E-409C-BE32-E72D297353CC}">
              <c16:uniqueId val="{0000000F-7AC6-4202-BF6C-69709D0BE73C}"/>
            </c:ext>
          </c:extLst>
        </c:ser>
        <c:ser>
          <c:idx val="0"/>
          <c:order val="1"/>
          <c:tx>
            <c:v>Serie 1</c:v>
          </c:tx>
          <c:dPt>
            <c:idx val="0"/>
            <c:bubble3D val="0"/>
            <c:spPr>
              <a:solidFill>
                <a:schemeClr val="accent5">
                  <a:lumMod val="75000"/>
                </a:schemeClr>
              </a:solidFill>
            </c:spPr>
            <c:extLst>
              <c:ext xmlns:c16="http://schemas.microsoft.com/office/drawing/2014/chart" uri="{C3380CC4-5D6E-409C-BE32-E72D297353CC}">
                <c16:uniqueId val="{00000011-7AC6-4202-BF6C-69709D0BE73C}"/>
              </c:ext>
            </c:extLst>
          </c:dPt>
          <c:dPt>
            <c:idx val="1"/>
            <c:bubble3D val="0"/>
            <c:spPr>
              <a:solidFill>
                <a:schemeClr val="accent5">
                  <a:lumMod val="60000"/>
                  <a:lumOff val="40000"/>
                </a:schemeClr>
              </a:solidFill>
            </c:spPr>
            <c:extLst>
              <c:ext xmlns:c16="http://schemas.microsoft.com/office/drawing/2014/chart" uri="{C3380CC4-5D6E-409C-BE32-E72D297353CC}">
                <c16:uniqueId val="{00000013-7AC6-4202-BF6C-69709D0BE73C}"/>
              </c:ext>
            </c:extLst>
          </c:dPt>
          <c:dPt>
            <c:idx val="2"/>
            <c:bubble3D val="0"/>
            <c:spPr>
              <a:solidFill>
                <a:schemeClr val="accent5">
                  <a:lumMod val="40000"/>
                  <a:lumOff val="60000"/>
                </a:schemeClr>
              </a:solidFill>
            </c:spPr>
            <c:extLst>
              <c:ext xmlns:c16="http://schemas.microsoft.com/office/drawing/2014/chart" uri="{C3380CC4-5D6E-409C-BE32-E72D297353CC}">
                <c16:uniqueId val="{00000015-7AC6-4202-BF6C-69709D0BE73C}"/>
              </c:ext>
            </c:extLst>
          </c:dPt>
          <c:dPt>
            <c:idx val="3"/>
            <c:bubble3D val="0"/>
            <c:spPr>
              <a:solidFill>
                <a:schemeClr val="accent5">
                  <a:lumMod val="20000"/>
                  <a:lumOff val="80000"/>
                </a:schemeClr>
              </a:solidFill>
            </c:spPr>
            <c:extLst>
              <c:ext xmlns:c16="http://schemas.microsoft.com/office/drawing/2014/chart" uri="{C3380CC4-5D6E-409C-BE32-E72D297353CC}">
                <c16:uniqueId val="{00000017-7AC6-4202-BF6C-69709D0BE73C}"/>
              </c:ext>
            </c:extLst>
          </c:dPt>
          <c:dPt>
            <c:idx val="4"/>
            <c:bubble3D val="0"/>
            <c:spPr>
              <a:solidFill>
                <a:schemeClr val="bg1">
                  <a:lumMod val="75000"/>
                </a:schemeClr>
              </a:solidFill>
            </c:spPr>
            <c:extLst>
              <c:ext xmlns:c16="http://schemas.microsoft.com/office/drawing/2014/chart" uri="{C3380CC4-5D6E-409C-BE32-E72D297353CC}">
                <c16:uniqueId val="{00000019-7AC6-4202-BF6C-69709D0BE73C}"/>
              </c:ext>
            </c:extLst>
          </c:dPt>
          <c:dPt>
            <c:idx val="5"/>
            <c:bubble3D val="0"/>
            <c:spPr>
              <a:solidFill>
                <a:schemeClr val="accent6">
                  <a:lumMod val="60000"/>
                  <a:lumOff val="40000"/>
                </a:schemeClr>
              </a:solidFill>
            </c:spPr>
            <c:extLst>
              <c:ext xmlns:c16="http://schemas.microsoft.com/office/drawing/2014/chart" uri="{C3380CC4-5D6E-409C-BE32-E72D297353CC}">
                <c16:uniqueId val="{0000001B-7AC6-4202-BF6C-69709D0BE73C}"/>
              </c:ext>
            </c:extLst>
          </c:dPt>
          <c:dPt>
            <c:idx val="6"/>
            <c:bubble3D val="0"/>
            <c:spPr>
              <a:solidFill>
                <a:schemeClr val="accent6">
                  <a:lumMod val="40000"/>
                  <a:lumOff val="60000"/>
                </a:schemeClr>
              </a:solidFill>
            </c:spPr>
            <c:extLst>
              <c:ext xmlns:c16="http://schemas.microsoft.com/office/drawing/2014/chart" uri="{C3380CC4-5D6E-409C-BE32-E72D297353CC}">
                <c16:uniqueId val="{0000001D-7AC6-4202-BF6C-69709D0BE73C}"/>
              </c:ext>
            </c:extLst>
          </c:dPt>
          <c:dPt>
            <c:idx val="7"/>
            <c:bubble3D val="0"/>
            <c:spPr>
              <a:solidFill>
                <a:schemeClr val="accent3">
                  <a:lumMod val="75000"/>
                </a:schemeClr>
              </a:solidFill>
            </c:spPr>
            <c:extLst>
              <c:ext xmlns:c16="http://schemas.microsoft.com/office/drawing/2014/chart" uri="{C3380CC4-5D6E-409C-BE32-E72D297353CC}">
                <c16:uniqueId val="{0000001F-7AC6-4202-BF6C-69709D0BE73C}"/>
              </c:ext>
            </c:extLst>
          </c:dPt>
          <c:dPt>
            <c:idx val="8"/>
            <c:bubble3D val="0"/>
            <c:spPr>
              <a:solidFill>
                <a:schemeClr val="accent3">
                  <a:lumMod val="60000"/>
                  <a:lumOff val="40000"/>
                </a:schemeClr>
              </a:solidFill>
            </c:spPr>
            <c:extLst>
              <c:ext xmlns:c16="http://schemas.microsoft.com/office/drawing/2014/chart" uri="{C3380CC4-5D6E-409C-BE32-E72D297353CC}">
                <c16:uniqueId val="{00000021-7AC6-4202-BF6C-69709D0BE73C}"/>
              </c:ext>
            </c:extLst>
          </c:dPt>
          <c:dPt>
            <c:idx val="9"/>
            <c:bubble3D val="0"/>
            <c:spPr>
              <a:solidFill>
                <a:schemeClr val="accent3">
                  <a:lumMod val="40000"/>
                  <a:lumOff val="60000"/>
                </a:schemeClr>
              </a:solidFill>
            </c:spPr>
            <c:extLst>
              <c:ext xmlns:c16="http://schemas.microsoft.com/office/drawing/2014/chart" uri="{C3380CC4-5D6E-409C-BE32-E72D297353CC}">
                <c16:uniqueId val="{00000023-7AC6-4202-BF6C-69709D0BE73C}"/>
              </c:ext>
            </c:extLst>
          </c:dPt>
          <c:dPt>
            <c:idx val="10"/>
            <c:bubble3D val="0"/>
            <c:spPr>
              <a:solidFill>
                <a:schemeClr val="accent4">
                  <a:lumMod val="40000"/>
                  <a:lumOff val="60000"/>
                </a:schemeClr>
              </a:solidFill>
            </c:spPr>
            <c:extLst>
              <c:ext xmlns:c16="http://schemas.microsoft.com/office/drawing/2014/chart" uri="{C3380CC4-5D6E-409C-BE32-E72D297353CC}">
                <c16:uniqueId val="{00000025-7AC6-4202-BF6C-69709D0BE73C}"/>
              </c:ext>
            </c:extLst>
          </c:dPt>
          <c:dLbls>
            <c:dLbl>
              <c:idx val="12"/>
              <c:delete val="1"/>
              <c:extLst>
                <c:ext xmlns:c15="http://schemas.microsoft.com/office/drawing/2012/chart" uri="{CE6537A1-D6FC-4f65-9D91-7224C49458BB}"/>
                <c:ext xmlns:c16="http://schemas.microsoft.com/office/drawing/2014/chart" uri="{C3380CC4-5D6E-409C-BE32-E72D297353CC}">
                  <c16:uniqueId val="{00000026-7AC6-4202-BF6C-69709D0BE73C}"/>
                </c:ext>
              </c:extLst>
            </c:dLbl>
            <c:spPr>
              <a:noFill/>
              <a:ln>
                <a:noFill/>
              </a:ln>
              <a:effectLst/>
            </c:spPr>
            <c:txPr>
              <a:bodyPr/>
              <a:lstStyle/>
              <a:p>
                <a:pPr>
                  <a:defRPr sz="800" b="0" i="0" u="none" strike="noStrike" baseline="0">
                    <a:solidFill>
                      <a:srgbClr val="000000"/>
                    </a:solidFill>
                    <a:latin typeface="Calibri"/>
                    <a:ea typeface="Calibri"/>
                    <a:cs typeface="Calibri"/>
                  </a:defRPr>
                </a:pPr>
                <a:endParaRPr lang="fr-FR"/>
              </a:p>
            </c:txPr>
            <c:showLegendKey val="0"/>
            <c:showVal val="1"/>
            <c:showCatName val="1"/>
            <c:showSerName val="0"/>
            <c:showPercent val="0"/>
            <c:showBubbleSize val="0"/>
            <c:showLeaderLines val="0"/>
            <c:extLst>
              <c:ext xmlns:c15="http://schemas.microsoft.com/office/drawing/2012/chart" uri="{CE6537A1-D6FC-4f65-9D91-7224C49458BB}"/>
            </c:extLst>
          </c:dLbls>
          <c:cat>
            <c:strRef>
              <c:f>'Annexe 4'!$A$4:$A$14</c:f>
              <c:strCache>
                <c:ptCount val="11"/>
                <c:pt idx="0">
                  <c:v>Maroc</c:v>
                </c:pt>
                <c:pt idx="1">
                  <c:v>Algérie</c:v>
                </c:pt>
                <c:pt idx="2">
                  <c:v>Tunisie</c:v>
                </c:pt>
                <c:pt idx="3">
                  <c:v>Sénégal</c:v>
                </c:pt>
                <c:pt idx="4">
                  <c:v>Autres Afrique</c:v>
                </c:pt>
                <c:pt idx="5">
                  <c:v>Chine</c:v>
                </c:pt>
                <c:pt idx="6">
                  <c:v>Autres Asie, Océanie</c:v>
                </c:pt>
                <c:pt idx="7">
                  <c:v>Allemagne</c:v>
                </c:pt>
                <c:pt idx="8">
                  <c:v>Italie</c:v>
                </c:pt>
                <c:pt idx="9">
                  <c:v>Autres Europe</c:v>
                </c:pt>
                <c:pt idx="10">
                  <c:v>Amérique</c:v>
                </c:pt>
              </c:strCache>
            </c:strRef>
          </c:cat>
          <c:val>
            <c:numRef>
              <c:f>'Annexe 4'!$B$4:$B$14</c:f>
              <c:numCache>
                <c:formatCode>0%</c:formatCode>
                <c:ptCount val="11"/>
                <c:pt idx="0">
                  <c:v>0.12</c:v>
                </c:pt>
                <c:pt idx="1">
                  <c:v>0.09</c:v>
                </c:pt>
                <c:pt idx="2">
                  <c:v>0.04</c:v>
                </c:pt>
                <c:pt idx="3">
                  <c:v>0.04</c:v>
                </c:pt>
                <c:pt idx="4">
                  <c:v>0.21</c:v>
                </c:pt>
                <c:pt idx="5">
                  <c:v>7.0000000000000007E-2</c:v>
                </c:pt>
                <c:pt idx="6">
                  <c:v>0.15</c:v>
                </c:pt>
                <c:pt idx="7">
                  <c:v>0.02</c:v>
                </c:pt>
                <c:pt idx="8">
                  <c:v>0.04</c:v>
                </c:pt>
                <c:pt idx="9">
                  <c:v>0.13</c:v>
                </c:pt>
                <c:pt idx="10">
                  <c:v>0.09</c:v>
                </c:pt>
              </c:numCache>
            </c:numRef>
          </c:val>
          <c:extLst>
            <c:ext xmlns:c16="http://schemas.microsoft.com/office/drawing/2014/chart" uri="{C3380CC4-5D6E-409C-BE32-E72D297353CC}">
              <c16:uniqueId val="{00000027-7AC6-4202-BF6C-69709D0BE73C}"/>
            </c:ext>
          </c:extLst>
        </c:ser>
        <c:dLbls>
          <c:showLegendKey val="0"/>
          <c:showVal val="0"/>
          <c:showCatName val="0"/>
          <c:showSerName val="0"/>
          <c:showPercent val="0"/>
          <c:showBubbleSize val="0"/>
          <c:showLeaderLines val="0"/>
        </c:dLbls>
        <c:firstSliceAng val="0"/>
        <c:holeSize val="10"/>
      </c:doughnutChart>
      <c:spPr>
        <a:noFill/>
        <a:ln w="25400">
          <a:noFill/>
        </a:ln>
      </c:spPr>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8305430788076767E-2"/>
          <c:y val="7.2089426321709782E-2"/>
          <c:w val="0.93657029508111667"/>
          <c:h val="0.65484139482564685"/>
        </c:manualLayout>
      </c:layout>
      <c:lineChart>
        <c:grouping val="standard"/>
        <c:varyColors val="0"/>
        <c:ser>
          <c:idx val="0"/>
          <c:order val="0"/>
          <c:tx>
            <c:strRef>
              <c:f>'Graphique 2'!$A$5</c:f>
              <c:strCache>
                <c:ptCount val="1"/>
                <c:pt idx="0">
                  <c:v>IUT</c:v>
                </c:pt>
              </c:strCache>
            </c:strRef>
          </c:tx>
          <c:spPr>
            <a:ln w="25400">
              <a:solidFill>
                <a:srgbClr val="FF0000"/>
              </a:solidFill>
              <a:prstDash val="solid"/>
            </a:ln>
          </c:spPr>
          <c:marker>
            <c:symbol val="none"/>
          </c:marker>
          <c:cat>
            <c:strRef>
              <c:f>'Graphique 2'!$B$4:$M$4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'Graphique 2'!$B$5:$M$5</c:f>
              <c:numCache>
                <c:formatCode>_-* #\ ##0.0\ _€_-;\-* #\ ##0.0\ _€_-;_-* "-"??\ _€_-;_-@_-</c:formatCode>
                <c:ptCount val="12"/>
                <c:pt idx="0">
                  <c:v>115.014</c:v>
                </c:pt>
                <c:pt idx="1">
                  <c:v>114.67700000000001</c:v>
                </c:pt>
                <c:pt idx="2">
                  <c:v>115.77800000000001</c:v>
                </c:pt>
                <c:pt idx="3">
                  <c:v>116.395</c:v>
                </c:pt>
                <c:pt idx="4">
                  <c:v>116.18300000000001</c:v>
                </c:pt>
                <c:pt idx="5">
                  <c:v>116.551</c:v>
                </c:pt>
                <c:pt idx="6">
                  <c:v>116.751</c:v>
                </c:pt>
                <c:pt idx="7">
                  <c:v>119.661</c:v>
                </c:pt>
                <c:pt idx="8">
                  <c:v>120.551</c:v>
                </c:pt>
                <c:pt idx="9">
                  <c:v>120.93</c:v>
                </c:pt>
                <c:pt idx="10">
                  <c:v>115.056</c:v>
                </c:pt>
                <c:pt idx="11">
                  <c:v>107.256</c:v>
                </c:pt>
              </c:numCache>
            </c:numRef>
          </c:val>
          <c:smooth val="0"/>
          <c:extLst>
            <c:ext xmlns:c16="http://schemas.microsoft.com/office/drawing/2014/chart" uri="{C3380CC4-5D6E-409C-BE32-E72D297353CC}">
              <c16:uniqueId val="{00000000-2EA2-48C0-9B7B-EDB5BDA3AFCB}"/>
            </c:ext>
          </c:extLst>
        </c:ser>
        <c:ser>
          <c:idx val="1"/>
          <c:order val="1"/>
          <c:tx>
            <c:strRef>
              <c:f>'Graphique 2'!$A$6</c:f>
              <c:strCache>
                <c:ptCount val="1"/>
                <c:pt idx="0">
                  <c:v>Formations d'ingénieurs (yc en partenariat)</c:v>
                </c:pt>
              </c:strCache>
            </c:strRef>
          </c:tx>
          <c:spPr>
            <a:ln w="25400">
              <a:solidFill>
                <a:schemeClr val="tx2">
                  <a:lumMod val="60000"/>
                  <a:lumOff val="40000"/>
                </a:schemeClr>
              </a:solidFill>
              <a:prstDash val="solid"/>
            </a:ln>
          </c:spPr>
          <c:marker>
            <c:symbol val="none"/>
          </c:marker>
          <c:cat>
            <c:strRef>
              <c:f>'Graphique 2'!$B$4:$M$4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'Graphique 2'!$B$6:$M$6</c:f>
              <c:numCache>
                <c:formatCode>_-* #\ ##0.0\ _€_-;\-* #\ ##0.0\ _€_-;_-* "-"??\ _€_-;_-@_-</c:formatCode>
                <c:ptCount val="12"/>
                <c:pt idx="0">
                  <c:v>130.41999999999999</c:v>
                </c:pt>
                <c:pt idx="1">
                  <c:v>134.333</c:v>
                </c:pt>
                <c:pt idx="2">
                  <c:v>137.30500000000001</c:v>
                </c:pt>
                <c:pt idx="3">
                  <c:v>141.54499999999999</c:v>
                </c:pt>
                <c:pt idx="4">
                  <c:v>146.429</c:v>
                </c:pt>
                <c:pt idx="5">
                  <c:v>152.476</c:v>
                </c:pt>
                <c:pt idx="6">
                  <c:v>158.767</c:v>
                </c:pt>
                <c:pt idx="7">
                  <c:v>164.17699999999999</c:v>
                </c:pt>
                <c:pt idx="8">
                  <c:v>167.547</c:v>
                </c:pt>
                <c:pt idx="9">
                  <c:v>171.92500000000001</c:v>
                </c:pt>
                <c:pt idx="10">
                  <c:v>175.66399999999999</c:v>
                </c:pt>
                <c:pt idx="11">
                  <c:v>177.62299999999999</c:v>
                </c:pt>
              </c:numCache>
            </c:numRef>
          </c:val>
          <c:smooth val="0"/>
          <c:extLst>
            <c:ext xmlns:c16="http://schemas.microsoft.com/office/drawing/2014/chart" uri="{C3380CC4-5D6E-409C-BE32-E72D297353CC}">
              <c16:uniqueId val="{00000001-2EA2-48C0-9B7B-EDB5BDA3AFCB}"/>
            </c:ext>
          </c:extLst>
        </c:ser>
        <c:ser>
          <c:idx val="2"/>
          <c:order val="2"/>
          <c:tx>
            <c:strRef>
              <c:f>'Graphique 2'!$A$7</c:f>
              <c:strCache>
                <c:ptCount val="1"/>
                <c:pt idx="0">
                  <c:v>STS et assimilés (scolaires)</c:v>
                </c:pt>
              </c:strCache>
            </c:strRef>
          </c:tx>
          <c:spPr>
            <a:ln>
              <a:solidFill>
                <a:schemeClr val="accent6">
                  <a:lumMod val="50000"/>
                </a:schemeClr>
              </a:solidFill>
            </a:ln>
          </c:spPr>
          <c:marker>
            <c:symbol val="none"/>
          </c:marker>
          <c:cat>
            <c:strRef>
              <c:f>'Graphique 2'!$B$4:$M$4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'Graphique 2'!$B$7:$M$7</c:f>
              <c:numCache>
                <c:formatCode>_-* #\ ##0.0\ _€_-;\-* #\ ##0.0\ _€_-;_-* "-"??\ _€_-;_-@_-</c:formatCode>
                <c:ptCount val="12"/>
                <c:pt idx="0">
                  <c:v>246.02500000000001</c:v>
                </c:pt>
                <c:pt idx="1">
                  <c:v>253.72900000000001</c:v>
                </c:pt>
                <c:pt idx="2">
                  <c:v>254.96700000000001</c:v>
                </c:pt>
                <c:pt idx="3">
                  <c:v>255.27699999999999</c:v>
                </c:pt>
                <c:pt idx="4">
                  <c:v>256.06599999999997</c:v>
                </c:pt>
                <c:pt idx="5">
                  <c:v>257.24700000000001</c:v>
                </c:pt>
                <c:pt idx="6">
                  <c:v>256.56299999999999</c:v>
                </c:pt>
                <c:pt idx="7">
                  <c:v>262.62599999999998</c:v>
                </c:pt>
                <c:pt idx="8">
                  <c:v>262.49799999999999</c:v>
                </c:pt>
                <c:pt idx="9">
                  <c:v>267.35000000000002</c:v>
                </c:pt>
                <c:pt idx="10">
                  <c:v>252.041</c:v>
                </c:pt>
                <c:pt idx="11">
                  <c:v>227.76900000000001</c:v>
                </c:pt>
              </c:numCache>
            </c:numRef>
          </c:val>
          <c:smooth val="0"/>
          <c:extLst>
            <c:ext xmlns:c16="http://schemas.microsoft.com/office/drawing/2014/chart" uri="{C3380CC4-5D6E-409C-BE32-E72D297353CC}">
              <c16:uniqueId val="{00000002-2EA2-48C0-9B7B-EDB5BDA3AFCB}"/>
            </c:ext>
          </c:extLst>
        </c:ser>
        <c:ser>
          <c:idx val="4"/>
          <c:order val="3"/>
          <c:tx>
            <c:strRef>
              <c:f>'Graphique 2'!$A$8</c:f>
              <c:strCache>
                <c:ptCount val="1"/>
                <c:pt idx="0">
                  <c:v>STS et assimilés (apprentis)</c:v>
                </c:pt>
              </c:strCache>
            </c:strRef>
          </c:tx>
          <c:spPr>
            <a:ln>
              <a:solidFill>
                <a:srgbClr val="FFC000"/>
              </a:solidFill>
            </a:ln>
          </c:spPr>
          <c:marker>
            <c:symbol val="none"/>
          </c:marker>
          <c:cat>
            <c:strRef>
              <c:f>'Graphique 2'!$B$4:$M$4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'Graphique 2'!$B$8:$M$8</c:f>
              <c:numCache>
                <c:formatCode>_-* #\ ##0.0\ _€_-;\-* #\ ##0.0\ _€_-;_-* "-"??\ _€_-;_-@_-</c:formatCode>
                <c:ptCount val="12"/>
                <c:pt idx="0">
                  <c:v>55.136000000000003</c:v>
                </c:pt>
                <c:pt idx="1">
                  <c:v>61.768999999999998</c:v>
                </c:pt>
                <c:pt idx="2">
                  <c:v>60.834000000000003</c:v>
                </c:pt>
                <c:pt idx="3">
                  <c:v>58.62</c:v>
                </c:pt>
                <c:pt idx="4">
                  <c:v>60.094999999999999</c:v>
                </c:pt>
                <c:pt idx="5">
                  <c:v>62.83</c:v>
                </c:pt>
                <c:pt idx="6">
                  <c:v>67.400999999999996</c:v>
                </c:pt>
                <c:pt idx="7">
                  <c:v>72.608000000000004</c:v>
                </c:pt>
                <c:pt idx="8">
                  <c:v>79.225999999999999</c:v>
                </c:pt>
                <c:pt idx="9">
                  <c:v>109.48</c:v>
                </c:pt>
                <c:pt idx="10">
                  <c:v>156.82400000000001</c:v>
                </c:pt>
                <c:pt idx="11">
                  <c:v>178.91399999999999</c:v>
                </c:pt>
              </c:numCache>
            </c:numRef>
          </c:val>
          <c:smooth val="0"/>
          <c:extLst>
            <c:ext xmlns:c16="http://schemas.microsoft.com/office/drawing/2014/chart" uri="{C3380CC4-5D6E-409C-BE32-E72D297353CC}">
              <c16:uniqueId val="{00000004-2EA2-48C0-9B7B-EDB5BDA3AFCB}"/>
            </c:ext>
          </c:extLst>
        </c:ser>
        <c:ser>
          <c:idx val="3"/>
          <c:order val="4"/>
          <c:tx>
            <c:strRef>
              <c:f>'Graphique 2'!$A$9</c:f>
              <c:strCache>
                <c:ptCount val="1"/>
                <c:pt idx="0">
                  <c:v>CPGE</c:v>
                </c:pt>
              </c:strCache>
            </c:strRef>
          </c:tx>
          <c:spPr>
            <a:ln>
              <a:solidFill>
                <a:schemeClr val="accent3">
                  <a:lumMod val="75000"/>
                </a:schemeClr>
              </a:solidFill>
            </a:ln>
          </c:spPr>
          <c:marker>
            <c:symbol val="none"/>
          </c:marker>
          <c:cat>
            <c:strRef>
              <c:f>'Graphique 2'!$B$4:$M$4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'Graphique 2'!$B$9:$M$9</c:f>
              <c:numCache>
                <c:formatCode>_-* #\ ##0.0\ _€_-;\-* #\ ##0.0\ _€_-;_-* "-"??\ _€_-;_-@_-</c:formatCode>
                <c:ptCount val="12"/>
                <c:pt idx="0">
                  <c:v>80.411000000000001</c:v>
                </c:pt>
                <c:pt idx="1">
                  <c:v>82.165000000000006</c:v>
                </c:pt>
                <c:pt idx="2">
                  <c:v>83.424999999999997</c:v>
                </c:pt>
                <c:pt idx="3">
                  <c:v>84.046000000000006</c:v>
                </c:pt>
                <c:pt idx="4">
                  <c:v>85.938000000000002</c:v>
                </c:pt>
                <c:pt idx="5">
                  <c:v>86.472999999999999</c:v>
                </c:pt>
                <c:pt idx="6">
                  <c:v>86.477999999999994</c:v>
                </c:pt>
                <c:pt idx="7">
                  <c:v>85.120999999999995</c:v>
                </c:pt>
                <c:pt idx="8">
                  <c:v>85.07</c:v>
                </c:pt>
                <c:pt idx="9">
                  <c:v>84.903000000000006</c:v>
                </c:pt>
                <c:pt idx="10">
                  <c:v>83.370999999999995</c:v>
                </c:pt>
                <c:pt idx="11">
                  <c:v>81.164000000000001</c:v>
                </c:pt>
              </c:numCache>
            </c:numRef>
          </c:val>
          <c:smooth val="0"/>
          <c:extLst>
            <c:ext xmlns:c16="http://schemas.microsoft.com/office/drawing/2014/chart" uri="{C3380CC4-5D6E-409C-BE32-E72D297353CC}">
              <c16:uniqueId val="{00000003-2EA2-48C0-9B7B-EDB5BDA3AFCB}"/>
            </c:ext>
          </c:extLst>
        </c:ser>
        <c:ser>
          <c:idx val="5"/>
          <c:order val="5"/>
          <c:tx>
            <c:strRef>
              <c:f>'Graphique 2'!$A$10</c:f>
              <c:strCache>
                <c:ptCount val="1"/>
                <c:pt idx="0">
                  <c:v>Ecoles de commerce, gestion et comptabilité (hors STS)</c:v>
                </c:pt>
              </c:strCache>
            </c:strRef>
          </c:tx>
          <c:spPr>
            <a:ln>
              <a:solidFill>
                <a:srgbClr val="FF00FF"/>
              </a:solidFill>
            </a:ln>
          </c:spPr>
          <c:marker>
            <c:symbol val="none"/>
          </c:marker>
          <c:cat>
            <c:strRef>
              <c:f>'Graphique 2'!$B$4:$M$4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'Graphique 2'!$B$10:$M$10</c:f>
              <c:numCache>
                <c:formatCode>_-* #\ ##0.0\ _€_-;\-* #\ ##0.0\ _€_-;_-* "-"??\ _€_-;_-@_-</c:formatCode>
                <c:ptCount val="12"/>
                <c:pt idx="0">
                  <c:v>126.69799999999999</c:v>
                </c:pt>
                <c:pt idx="1">
                  <c:v>131.04300000000001</c:v>
                </c:pt>
                <c:pt idx="2">
                  <c:v>134.17699999999999</c:v>
                </c:pt>
                <c:pt idx="3">
                  <c:v>134.32900000000001</c:v>
                </c:pt>
                <c:pt idx="4">
                  <c:v>136.244</c:v>
                </c:pt>
                <c:pt idx="5">
                  <c:v>152.08000000000001</c:v>
                </c:pt>
                <c:pt idx="6">
                  <c:v>174.09200000000001</c:v>
                </c:pt>
                <c:pt idx="7">
                  <c:v>187.428</c:v>
                </c:pt>
                <c:pt idx="8">
                  <c:v>199.22499999999999</c:v>
                </c:pt>
                <c:pt idx="9">
                  <c:v>219.33699999999999</c:v>
                </c:pt>
                <c:pt idx="10">
                  <c:v>239.14599999999999</c:v>
                </c:pt>
                <c:pt idx="11">
                  <c:v>244.86500000000001</c:v>
                </c:pt>
              </c:numCache>
            </c:numRef>
          </c:val>
          <c:smooth val="0"/>
          <c:extLst>
            <c:ext xmlns:c16="http://schemas.microsoft.com/office/drawing/2014/chart" uri="{C3380CC4-5D6E-409C-BE32-E72D297353CC}">
              <c16:uniqueId val="{00000005-2EA2-48C0-9B7B-EDB5BDA3AFCB}"/>
            </c:ext>
          </c:extLst>
        </c:ser>
        <c:ser>
          <c:idx val="6"/>
          <c:order val="6"/>
          <c:tx>
            <c:strRef>
              <c:f>'Graphique 2'!$A$11</c:f>
              <c:strCache>
                <c:ptCount val="1"/>
                <c:pt idx="0">
                  <c:v>Ecoles paramédicales et sociales (1)</c:v>
                </c:pt>
              </c:strCache>
            </c:strRef>
          </c:tx>
          <c:spPr>
            <a:ln>
              <a:solidFill>
                <a:sysClr val="windowText" lastClr="000000"/>
              </a:solidFill>
            </a:ln>
          </c:spPr>
          <c:marker>
            <c:symbol val="none"/>
          </c:marker>
          <c:cat>
            <c:strRef>
              <c:f>'Graphique 2'!$B$4:$M$4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'Graphique 2'!$B$11:$M$11</c:f>
              <c:numCache>
                <c:formatCode>_-* #\ ##0.0\ _€_-;\-* #\ ##0.0\ _€_-;_-* "-"??\ _€_-;_-@_-</c:formatCode>
                <c:ptCount val="12"/>
                <c:pt idx="0">
                  <c:v>140.6</c:v>
                </c:pt>
                <c:pt idx="1">
                  <c:v>132.9</c:v>
                </c:pt>
                <c:pt idx="2">
                  <c:v>135.1</c:v>
                </c:pt>
                <c:pt idx="3">
                  <c:v>135.44900000000001</c:v>
                </c:pt>
                <c:pt idx="4">
                  <c:v>135.17599999999999</c:v>
                </c:pt>
                <c:pt idx="5">
                  <c:v>135.08000000000001</c:v>
                </c:pt>
                <c:pt idx="6">
                  <c:v>134.75800000000001</c:v>
                </c:pt>
                <c:pt idx="7">
                  <c:v>138.62</c:v>
                </c:pt>
                <c:pt idx="8">
                  <c:v>140.613</c:v>
                </c:pt>
                <c:pt idx="9">
                  <c:v>142.041</c:v>
                </c:pt>
                <c:pt idx="10">
                  <c:v>152.274</c:v>
                </c:pt>
                <c:pt idx="11">
                  <c:v>152.36799999999999</c:v>
                </c:pt>
              </c:numCache>
            </c:numRef>
          </c:val>
          <c:smooth val="0"/>
          <c:extLst>
            <c:ext xmlns:c16="http://schemas.microsoft.com/office/drawing/2014/chart" uri="{C3380CC4-5D6E-409C-BE32-E72D297353CC}">
              <c16:uniqueId val="{00000006-2EA2-48C0-9B7B-EDB5BDA3AFCB}"/>
            </c:ext>
          </c:extLst>
        </c:ser>
        <c:ser>
          <c:idx val="7"/>
          <c:order val="7"/>
          <c:tx>
            <c:strRef>
              <c:f>'Graphique 2'!$A$12</c:f>
              <c:strCache>
                <c:ptCount val="1"/>
                <c:pt idx="0">
                  <c:v>Autre Formations (hors université)</c:v>
                </c:pt>
              </c:strCache>
            </c:strRef>
          </c:tx>
          <c:spPr>
            <a:ln>
              <a:solidFill>
                <a:schemeClr val="bg1">
                  <a:lumMod val="65000"/>
                </a:schemeClr>
              </a:solidFill>
            </a:ln>
          </c:spPr>
          <c:marker>
            <c:symbol val="none"/>
          </c:marker>
          <c:cat>
            <c:strRef>
              <c:f>'Graphique 2'!$B$4:$M$4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'Graphique 2'!$B$12:$M$12</c:f>
              <c:numCache>
                <c:formatCode>_-* #\ ##0.0\ _€_-;\-* #\ ##0.0\ _€_-;_-* "-"??\ _€_-;_-@_-</c:formatCode>
                <c:ptCount val="12"/>
                <c:pt idx="0">
                  <c:v>200.72300000000001</c:v>
                </c:pt>
                <c:pt idx="1">
                  <c:v>207.45</c:v>
                </c:pt>
                <c:pt idx="2">
                  <c:v>213.35400000000001</c:v>
                </c:pt>
                <c:pt idx="3">
                  <c:v>215.52099999999999</c:v>
                </c:pt>
                <c:pt idx="4">
                  <c:v>226.173</c:v>
                </c:pt>
                <c:pt idx="5">
                  <c:v>231.97399999999999</c:v>
                </c:pt>
                <c:pt idx="6">
                  <c:v>256.786</c:v>
                </c:pt>
                <c:pt idx="7">
                  <c:v>260.11599999999999</c:v>
                </c:pt>
                <c:pt idx="8">
                  <c:v>269.24700000000001</c:v>
                </c:pt>
                <c:pt idx="9">
                  <c:v>281.637</c:v>
                </c:pt>
                <c:pt idx="10">
                  <c:v>294.38</c:v>
                </c:pt>
                <c:pt idx="11">
                  <c:v>306.51600000000002</c:v>
                </c:pt>
              </c:numCache>
            </c:numRef>
          </c:val>
          <c:smooth val="0"/>
          <c:extLst>
            <c:ext xmlns:c16="http://schemas.microsoft.com/office/drawing/2014/chart" uri="{C3380CC4-5D6E-409C-BE32-E72D297353CC}">
              <c16:uniqueId val="{00000007-2EA2-48C0-9B7B-EDB5BDA3AFCB}"/>
            </c:ext>
          </c:extLst>
        </c:ser>
        <c:dLbls>
          <c:showLegendKey val="0"/>
          <c:showVal val="0"/>
          <c:showCatName val="0"/>
          <c:showSerName val="0"/>
          <c:showPercent val="0"/>
          <c:showBubbleSize val="0"/>
        </c:dLbls>
        <c:smooth val="0"/>
        <c:axId val="226113408"/>
        <c:axId val="226114944"/>
      </c:lineChart>
      <c:catAx>
        <c:axId val="2261134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226114944"/>
        <c:crosses val="autoZero"/>
        <c:auto val="1"/>
        <c:lblAlgn val="ctr"/>
        <c:lblOffset val="100"/>
        <c:tickLblSkip val="1"/>
        <c:tickMarkSkip val="1"/>
        <c:noMultiLvlLbl val="0"/>
      </c:catAx>
      <c:valAx>
        <c:axId val="226114944"/>
        <c:scaling>
          <c:orientation val="minMax"/>
          <c:max val="350"/>
          <c:min val="50"/>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226113408"/>
        <c:crosses val="autoZero"/>
        <c:crossBetween val="between"/>
      </c:valAx>
      <c:spPr>
        <a:noFill/>
        <a:ln w="25400">
          <a:noFill/>
        </a:ln>
      </c:spPr>
    </c:plotArea>
    <c:legend>
      <c:legendPos val="r"/>
      <c:layout>
        <c:manualLayout>
          <c:xMode val="edge"/>
          <c:yMode val="edge"/>
          <c:x val="4.292856791298213E-3"/>
          <c:y val="0.77977044948589347"/>
          <c:w val="0.97091375732121465"/>
          <c:h val="0.14761137502440297"/>
        </c:manualLayout>
      </c:layout>
      <c:overlay val="0"/>
      <c:spPr>
        <a:solidFill>
          <a:srgbClr val="FFFFFF"/>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15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9644786391101055E-2"/>
          <c:y val="6.2397620922622132E-2"/>
          <c:w val="0.87530305732797353"/>
          <c:h val="0.69504962810084081"/>
        </c:manualLayout>
      </c:layout>
      <c:lineChart>
        <c:grouping val="standard"/>
        <c:varyColors val="0"/>
        <c:ser>
          <c:idx val="0"/>
          <c:order val="0"/>
          <c:tx>
            <c:strRef>
              <c:f>'Graphique 3'!$B$5</c:f>
              <c:strCache>
                <c:ptCount val="1"/>
                <c:pt idx="0">
                  <c:v>Public MESR (1)</c:v>
                </c:pt>
              </c:strCache>
            </c:strRef>
          </c:tx>
          <c:spPr>
            <a:ln w="25400">
              <a:solidFill>
                <a:srgbClr val="7030A0"/>
              </a:solidFill>
              <a:prstDash val="solid"/>
            </a:ln>
          </c:spPr>
          <c:marker>
            <c:symbol val="none"/>
          </c:marker>
          <c:cat>
            <c:strRef>
              <c:f>'Graphique 3'!$A$6:$A$18</c:f>
              <c:strCache>
                <c:ptCount val="13"/>
                <c:pt idx="0">
                  <c:v>2010-11</c:v>
                </c:pt>
                <c:pt idx="1">
                  <c:v>2011-12</c:v>
                </c:pt>
                <c:pt idx="2">
                  <c:v>2012-13</c:v>
                </c:pt>
                <c:pt idx="3">
                  <c:v>2013-14</c:v>
                </c:pt>
                <c:pt idx="4">
                  <c:v>2014-15</c:v>
                </c:pt>
                <c:pt idx="5">
                  <c:v>2015-16</c:v>
                </c:pt>
                <c:pt idx="6">
                  <c:v>2016-17</c:v>
                </c:pt>
                <c:pt idx="7">
                  <c:v>2017-18</c:v>
                </c:pt>
                <c:pt idx="8">
                  <c:v>2018-19</c:v>
                </c:pt>
                <c:pt idx="9">
                  <c:v>2019-20</c:v>
                </c:pt>
                <c:pt idx="10">
                  <c:v>2020-21</c:v>
                </c:pt>
                <c:pt idx="11">
                  <c:v>2021-22</c:v>
                </c:pt>
                <c:pt idx="12">
                  <c:v>2022-23</c:v>
                </c:pt>
              </c:strCache>
            </c:strRef>
          </c:cat>
          <c:val>
            <c:numRef>
              <c:f>'Graphique 3'!$B$6:$B$18</c:f>
              <c:numCache>
                <c:formatCode>#,##0</c:formatCode>
                <c:ptCount val="13"/>
                <c:pt idx="0">
                  <c:v>1748291</c:v>
                </c:pt>
                <c:pt idx="1">
                  <c:v>1766329</c:v>
                </c:pt>
                <c:pt idx="2">
                  <c:v>1788027</c:v>
                </c:pt>
                <c:pt idx="3">
                  <c:v>1826788</c:v>
                </c:pt>
                <c:pt idx="4">
                  <c:v>1860790</c:v>
                </c:pt>
                <c:pt idx="5">
                  <c:v>1909524</c:v>
                </c:pt>
                <c:pt idx="6">
                  <c:v>1935300</c:v>
                </c:pt>
                <c:pt idx="7">
                  <c:v>1952307</c:v>
                </c:pt>
                <c:pt idx="8">
                  <c:v>1989392</c:v>
                </c:pt>
                <c:pt idx="9">
                  <c:v>2011601</c:v>
                </c:pt>
                <c:pt idx="10" formatCode="General">
                  <c:v>2040945</c:v>
                </c:pt>
                <c:pt idx="11" formatCode="General">
                  <c:v>2044709</c:v>
                </c:pt>
                <c:pt idx="12" formatCode="General">
                  <c:v>1976877</c:v>
                </c:pt>
              </c:numCache>
            </c:numRef>
          </c:val>
          <c:smooth val="0"/>
          <c:extLst>
            <c:ext xmlns:c16="http://schemas.microsoft.com/office/drawing/2014/chart" uri="{C3380CC4-5D6E-409C-BE32-E72D297353CC}">
              <c16:uniqueId val="{00000000-FB81-4E70-8385-70948ADD1738}"/>
            </c:ext>
          </c:extLst>
        </c:ser>
        <c:ser>
          <c:idx val="1"/>
          <c:order val="1"/>
          <c:tx>
            <c:strRef>
              <c:f>'Graphique 3'!$C$5</c:f>
              <c:strCache>
                <c:ptCount val="1"/>
                <c:pt idx="0">
                  <c:v>Public hors MESR (1)</c:v>
                </c:pt>
              </c:strCache>
            </c:strRef>
          </c:tx>
          <c:spPr>
            <a:ln w="25400">
              <a:solidFill>
                <a:schemeClr val="bg1">
                  <a:lumMod val="50000"/>
                </a:schemeClr>
              </a:solidFill>
              <a:prstDash val="solid"/>
            </a:ln>
          </c:spPr>
          <c:marker>
            <c:symbol val="none"/>
          </c:marker>
          <c:cat>
            <c:strRef>
              <c:f>'Graphique 3'!$A$6:$A$18</c:f>
              <c:strCache>
                <c:ptCount val="13"/>
                <c:pt idx="0">
                  <c:v>2010-11</c:v>
                </c:pt>
                <c:pt idx="1">
                  <c:v>2011-12</c:v>
                </c:pt>
                <c:pt idx="2">
                  <c:v>2012-13</c:v>
                </c:pt>
                <c:pt idx="3">
                  <c:v>2013-14</c:v>
                </c:pt>
                <c:pt idx="4">
                  <c:v>2014-15</c:v>
                </c:pt>
                <c:pt idx="5">
                  <c:v>2015-16</c:v>
                </c:pt>
                <c:pt idx="6">
                  <c:v>2016-17</c:v>
                </c:pt>
                <c:pt idx="7">
                  <c:v>2017-18</c:v>
                </c:pt>
                <c:pt idx="8">
                  <c:v>2018-19</c:v>
                </c:pt>
                <c:pt idx="9">
                  <c:v>2019-20</c:v>
                </c:pt>
                <c:pt idx="10">
                  <c:v>2020-21</c:v>
                </c:pt>
                <c:pt idx="11">
                  <c:v>2021-22</c:v>
                </c:pt>
                <c:pt idx="12">
                  <c:v>2022-23</c:v>
                </c:pt>
              </c:strCache>
            </c:strRef>
          </c:cat>
          <c:val>
            <c:numRef>
              <c:f>'Graphique 3'!$C$6:$C$18</c:f>
              <c:numCache>
                <c:formatCode>#,##0</c:formatCode>
                <c:ptCount val="13"/>
                <c:pt idx="0">
                  <c:v>154001</c:v>
                </c:pt>
                <c:pt idx="1">
                  <c:v>157492</c:v>
                </c:pt>
                <c:pt idx="2">
                  <c:v>162154</c:v>
                </c:pt>
                <c:pt idx="3">
                  <c:v>158347</c:v>
                </c:pt>
                <c:pt idx="4">
                  <c:v>168863</c:v>
                </c:pt>
                <c:pt idx="5">
                  <c:v>168577</c:v>
                </c:pt>
                <c:pt idx="6">
                  <c:v>165475</c:v>
                </c:pt>
                <c:pt idx="7">
                  <c:v>171785</c:v>
                </c:pt>
                <c:pt idx="8">
                  <c:v>175056</c:v>
                </c:pt>
                <c:pt idx="9">
                  <c:v>178156</c:v>
                </c:pt>
                <c:pt idx="10" formatCode="General">
                  <c:v>184445</c:v>
                </c:pt>
                <c:pt idx="11" formatCode="General">
                  <c:v>192381</c:v>
                </c:pt>
                <c:pt idx="12" formatCode="General">
                  <c:v>191546</c:v>
                </c:pt>
              </c:numCache>
            </c:numRef>
          </c:val>
          <c:smooth val="0"/>
          <c:extLst>
            <c:ext xmlns:c16="http://schemas.microsoft.com/office/drawing/2014/chart" uri="{C3380CC4-5D6E-409C-BE32-E72D297353CC}">
              <c16:uniqueId val="{00000001-FB81-4E70-8385-70948ADD1738}"/>
            </c:ext>
          </c:extLst>
        </c:ser>
        <c:ser>
          <c:idx val="2"/>
          <c:order val="2"/>
          <c:tx>
            <c:strRef>
              <c:f>'Graphique 3'!$D$5</c:f>
              <c:strCache>
                <c:ptCount val="1"/>
                <c:pt idx="0">
                  <c:v>Privé</c:v>
                </c:pt>
              </c:strCache>
            </c:strRef>
          </c:tx>
          <c:spPr>
            <a:ln w="25400">
              <a:solidFill>
                <a:schemeClr val="tx1"/>
              </a:solidFill>
              <a:prstDash val="solid"/>
            </a:ln>
          </c:spPr>
          <c:marker>
            <c:symbol val="none"/>
          </c:marker>
          <c:cat>
            <c:strRef>
              <c:f>'Graphique 3'!$A$6:$A$18</c:f>
              <c:strCache>
                <c:ptCount val="13"/>
                <c:pt idx="0">
                  <c:v>2010-11</c:v>
                </c:pt>
                <c:pt idx="1">
                  <c:v>2011-12</c:v>
                </c:pt>
                <c:pt idx="2">
                  <c:v>2012-13</c:v>
                </c:pt>
                <c:pt idx="3">
                  <c:v>2013-14</c:v>
                </c:pt>
                <c:pt idx="4">
                  <c:v>2014-15</c:v>
                </c:pt>
                <c:pt idx="5">
                  <c:v>2015-16</c:v>
                </c:pt>
                <c:pt idx="6">
                  <c:v>2016-17</c:v>
                </c:pt>
                <c:pt idx="7">
                  <c:v>2017-18</c:v>
                </c:pt>
                <c:pt idx="8">
                  <c:v>2018-19</c:v>
                </c:pt>
                <c:pt idx="9">
                  <c:v>2019-20</c:v>
                </c:pt>
                <c:pt idx="10">
                  <c:v>2020-21</c:v>
                </c:pt>
                <c:pt idx="11">
                  <c:v>2021-22</c:v>
                </c:pt>
                <c:pt idx="12">
                  <c:v>2022-23</c:v>
                </c:pt>
              </c:strCache>
            </c:strRef>
          </c:cat>
          <c:val>
            <c:numRef>
              <c:f>'Graphique 3'!$D$6:$D$18</c:f>
              <c:numCache>
                <c:formatCode>#,##0</c:formatCode>
                <c:ptCount val="13"/>
                <c:pt idx="0">
                  <c:v>446912</c:v>
                </c:pt>
                <c:pt idx="1">
                  <c:v>461230</c:v>
                </c:pt>
                <c:pt idx="2">
                  <c:v>471392</c:v>
                </c:pt>
                <c:pt idx="3">
                  <c:v>485520</c:v>
                </c:pt>
                <c:pt idx="4">
                  <c:v>478150</c:v>
                </c:pt>
                <c:pt idx="5">
                  <c:v>491795</c:v>
                </c:pt>
                <c:pt idx="6">
                  <c:v>516541</c:v>
                </c:pt>
                <c:pt idx="7">
                  <c:v>565717</c:v>
                </c:pt>
                <c:pt idx="8">
                  <c:v>590138</c:v>
                </c:pt>
                <c:pt idx="9">
                  <c:v>617245</c:v>
                </c:pt>
                <c:pt idx="10" formatCode="General">
                  <c:v>670104</c:v>
                </c:pt>
                <c:pt idx="11" formatCode="General">
                  <c:v>742073</c:v>
                </c:pt>
                <c:pt idx="12" formatCode="General">
                  <c:v>766874</c:v>
                </c:pt>
              </c:numCache>
            </c:numRef>
          </c:val>
          <c:smooth val="0"/>
          <c:extLst>
            <c:ext xmlns:c16="http://schemas.microsoft.com/office/drawing/2014/chart" uri="{C3380CC4-5D6E-409C-BE32-E72D297353CC}">
              <c16:uniqueId val="{00000002-FB81-4E70-8385-70948ADD1738}"/>
            </c:ext>
          </c:extLst>
        </c:ser>
        <c:ser>
          <c:idx val="3"/>
          <c:order val="3"/>
          <c:tx>
            <c:strRef>
              <c:f>'Graphique 3'!$E$5</c:f>
              <c:strCache>
                <c:ptCount val="1"/>
                <c:pt idx="0">
                  <c:v>Public</c:v>
                </c:pt>
              </c:strCache>
            </c:strRef>
          </c:tx>
          <c:spPr>
            <a:ln>
              <a:solidFill>
                <a:srgbClr val="00FFFF"/>
              </a:solidFill>
            </a:ln>
          </c:spPr>
          <c:marker>
            <c:symbol val="none"/>
          </c:marker>
          <c:cat>
            <c:strRef>
              <c:f>'Graphique 3'!$A$6:$A$18</c:f>
              <c:strCache>
                <c:ptCount val="13"/>
                <c:pt idx="0">
                  <c:v>2010-11</c:v>
                </c:pt>
                <c:pt idx="1">
                  <c:v>2011-12</c:v>
                </c:pt>
                <c:pt idx="2">
                  <c:v>2012-13</c:v>
                </c:pt>
                <c:pt idx="3">
                  <c:v>2013-14</c:v>
                </c:pt>
                <c:pt idx="4">
                  <c:v>2014-15</c:v>
                </c:pt>
                <c:pt idx="5">
                  <c:v>2015-16</c:v>
                </c:pt>
                <c:pt idx="6">
                  <c:v>2016-17</c:v>
                </c:pt>
                <c:pt idx="7">
                  <c:v>2017-18</c:v>
                </c:pt>
                <c:pt idx="8">
                  <c:v>2018-19</c:v>
                </c:pt>
                <c:pt idx="9">
                  <c:v>2019-20</c:v>
                </c:pt>
                <c:pt idx="10">
                  <c:v>2020-21</c:v>
                </c:pt>
                <c:pt idx="11">
                  <c:v>2021-22</c:v>
                </c:pt>
                <c:pt idx="12">
                  <c:v>2022-23</c:v>
                </c:pt>
              </c:strCache>
            </c:strRef>
          </c:cat>
          <c:val>
            <c:numRef>
              <c:f>'Graphique 3'!$E$6:$E$18</c:f>
              <c:numCache>
                <c:formatCode>#,##0</c:formatCode>
                <c:ptCount val="13"/>
                <c:pt idx="0">
                  <c:v>1902292</c:v>
                </c:pt>
                <c:pt idx="1">
                  <c:v>1923821</c:v>
                </c:pt>
                <c:pt idx="2">
                  <c:v>1950181</c:v>
                </c:pt>
                <c:pt idx="3">
                  <c:v>1985135</c:v>
                </c:pt>
                <c:pt idx="4">
                  <c:v>2029653</c:v>
                </c:pt>
                <c:pt idx="5">
                  <c:v>2078101</c:v>
                </c:pt>
                <c:pt idx="6">
                  <c:v>2100775</c:v>
                </c:pt>
                <c:pt idx="7">
                  <c:v>2124092</c:v>
                </c:pt>
                <c:pt idx="8">
                  <c:v>2164448</c:v>
                </c:pt>
                <c:pt idx="9">
                  <c:v>2189757</c:v>
                </c:pt>
                <c:pt idx="10" formatCode="General">
                  <c:v>2225390</c:v>
                </c:pt>
                <c:pt idx="11" formatCode="General">
                  <c:v>2237090</c:v>
                </c:pt>
                <c:pt idx="12" formatCode="General">
                  <c:v>2168423</c:v>
                </c:pt>
              </c:numCache>
            </c:numRef>
          </c:val>
          <c:smooth val="0"/>
          <c:extLst>
            <c:ext xmlns:c16="http://schemas.microsoft.com/office/drawing/2014/chart" uri="{C3380CC4-5D6E-409C-BE32-E72D297353CC}">
              <c16:uniqueId val="{00000007-FB81-4E70-8385-70948ADD1738}"/>
            </c:ext>
          </c:extLst>
        </c:ser>
        <c:ser>
          <c:idx val="4"/>
          <c:order val="4"/>
          <c:tx>
            <c:strRef>
              <c:f>'Graphique 3'!$F$5</c:f>
              <c:strCache>
                <c:ptCount val="1"/>
                <c:pt idx="0">
                  <c:v>Ensemble</c:v>
                </c:pt>
              </c:strCache>
            </c:strRef>
          </c:tx>
          <c:spPr>
            <a:ln>
              <a:solidFill>
                <a:srgbClr val="002060"/>
              </a:solidFill>
            </a:ln>
          </c:spPr>
          <c:marker>
            <c:symbol val="none"/>
          </c:marker>
          <c:cat>
            <c:strRef>
              <c:f>'Graphique 3'!$A$6:$A$18</c:f>
              <c:strCache>
                <c:ptCount val="13"/>
                <c:pt idx="0">
                  <c:v>2010-11</c:v>
                </c:pt>
                <c:pt idx="1">
                  <c:v>2011-12</c:v>
                </c:pt>
                <c:pt idx="2">
                  <c:v>2012-13</c:v>
                </c:pt>
                <c:pt idx="3">
                  <c:v>2013-14</c:v>
                </c:pt>
                <c:pt idx="4">
                  <c:v>2014-15</c:v>
                </c:pt>
                <c:pt idx="5">
                  <c:v>2015-16</c:v>
                </c:pt>
                <c:pt idx="6">
                  <c:v>2016-17</c:v>
                </c:pt>
                <c:pt idx="7">
                  <c:v>2017-18</c:v>
                </c:pt>
                <c:pt idx="8">
                  <c:v>2018-19</c:v>
                </c:pt>
                <c:pt idx="9">
                  <c:v>2019-20</c:v>
                </c:pt>
                <c:pt idx="10">
                  <c:v>2020-21</c:v>
                </c:pt>
                <c:pt idx="11">
                  <c:v>2021-22</c:v>
                </c:pt>
                <c:pt idx="12">
                  <c:v>2022-23</c:v>
                </c:pt>
              </c:strCache>
            </c:strRef>
          </c:cat>
          <c:val>
            <c:numRef>
              <c:f>'Graphique 3'!$F$6:$F$18</c:f>
              <c:numCache>
                <c:formatCode>#,##0</c:formatCode>
                <c:ptCount val="13"/>
                <c:pt idx="0">
                  <c:v>2349204</c:v>
                </c:pt>
                <c:pt idx="1">
                  <c:v>2385051</c:v>
                </c:pt>
                <c:pt idx="2">
                  <c:v>2421573</c:v>
                </c:pt>
                <c:pt idx="3">
                  <c:v>2470655</c:v>
                </c:pt>
                <c:pt idx="4">
                  <c:v>2507803</c:v>
                </c:pt>
                <c:pt idx="5">
                  <c:v>2569896</c:v>
                </c:pt>
                <c:pt idx="6">
                  <c:v>2617316</c:v>
                </c:pt>
                <c:pt idx="7">
                  <c:v>2689809</c:v>
                </c:pt>
                <c:pt idx="8">
                  <c:v>2754586</c:v>
                </c:pt>
                <c:pt idx="9">
                  <c:v>2807002</c:v>
                </c:pt>
                <c:pt idx="10" formatCode="General">
                  <c:v>2895494</c:v>
                </c:pt>
                <c:pt idx="11" formatCode="General">
                  <c:v>2979163</c:v>
                </c:pt>
                <c:pt idx="12" formatCode="General">
                  <c:v>2935297</c:v>
                </c:pt>
              </c:numCache>
            </c:numRef>
          </c:val>
          <c:smooth val="0"/>
          <c:extLst>
            <c:ext xmlns:c16="http://schemas.microsoft.com/office/drawing/2014/chart" uri="{C3380CC4-5D6E-409C-BE32-E72D297353CC}">
              <c16:uniqueId val="{00000008-FB81-4E70-8385-70948ADD1738}"/>
            </c:ext>
          </c:extLst>
        </c:ser>
        <c:dLbls>
          <c:showLegendKey val="0"/>
          <c:showVal val="0"/>
          <c:showCatName val="0"/>
          <c:showSerName val="0"/>
          <c:showPercent val="0"/>
          <c:showBubbleSize val="0"/>
        </c:dLbls>
        <c:smooth val="0"/>
        <c:axId val="203411840"/>
        <c:axId val="203413376"/>
      </c:lineChart>
      <c:catAx>
        <c:axId val="2034118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203413376"/>
        <c:crosses val="autoZero"/>
        <c:auto val="1"/>
        <c:lblAlgn val="ctr"/>
        <c:lblOffset val="100"/>
        <c:tickLblSkip val="1"/>
        <c:tickMarkSkip val="1"/>
        <c:noMultiLvlLbl val="0"/>
      </c:catAx>
      <c:valAx>
        <c:axId val="203413376"/>
        <c:scaling>
          <c:orientation val="minMax"/>
          <c:max val="3000000"/>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203411840"/>
        <c:crosses val="autoZero"/>
        <c:crossBetween val="between"/>
        <c:majorUnit val="500000"/>
      </c:valAx>
      <c:spPr>
        <a:noFill/>
        <a:ln w="12700">
          <a:solidFill>
            <a:sysClr val="windowText" lastClr="000000"/>
          </a:solidFill>
          <a:prstDash val="solid"/>
        </a:ln>
      </c:spPr>
    </c:plotArea>
    <c:legend>
      <c:legendPos val="r"/>
      <c:layout>
        <c:manualLayout>
          <c:xMode val="edge"/>
          <c:yMode val="edge"/>
          <c:x val="7.3511383253003298E-2"/>
          <c:y val="0.81268273402611968"/>
          <c:w val="0.88184516650238842"/>
          <c:h val="0.1582828417551923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no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022" footer="0.49212598450000022"/>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9644786391101055E-2"/>
          <c:y val="6.2397620922622132E-2"/>
          <c:w val="0.90717424178951545"/>
          <c:h val="0.77011571829383474"/>
        </c:manualLayout>
      </c:layout>
      <c:lineChart>
        <c:grouping val="standard"/>
        <c:varyColors val="0"/>
        <c:ser>
          <c:idx val="0"/>
          <c:order val="0"/>
          <c:tx>
            <c:strRef>
              <c:f>'Graphique 4'!$B$5</c:f>
              <c:strCache>
                <c:ptCount val="1"/>
                <c:pt idx="0">
                  <c:v>Public MESR (1)</c:v>
                </c:pt>
              </c:strCache>
            </c:strRef>
          </c:tx>
          <c:spPr>
            <a:ln w="25400">
              <a:solidFill>
                <a:srgbClr val="7030A0"/>
              </a:solidFill>
              <a:prstDash val="solid"/>
            </a:ln>
          </c:spPr>
          <c:marker>
            <c:symbol val="none"/>
          </c:marker>
          <c:cat>
            <c:strRef>
              <c:f>'Graphique 4'!$A$6:$A$18</c:f>
              <c:strCache>
                <c:ptCount val="13"/>
                <c:pt idx="0">
                  <c:v>2010-11</c:v>
                </c:pt>
                <c:pt idx="1">
                  <c:v>2011-12</c:v>
                </c:pt>
                <c:pt idx="2">
                  <c:v>2012-13</c:v>
                </c:pt>
                <c:pt idx="3">
                  <c:v>2013-14</c:v>
                </c:pt>
                <c:pt idx="4">
                  <c:v>2014-15</c:v>
                </c:pt>
                <c:pt idx="5">
                  <c:v>2015-16</c:v>
                </c:pt>
                <c:pt idx="6">
                  <c:v>2016-17</c:v>
                </c:pt>
                <c:pt idx="7">
                  <c:v>2017-18</c:v>
                </c:pt>
                <c:pt idx="8">
                  <c:v>2018-19</c:v>
                </c:pt>
                <c:pt idx="9">
                  <c:v>2019-20</c:v>
                </c:pt>
                <c:pt idx="10">
                  <c:v>2020-21</c:v>
                </c:pt>
                <c:pt idx="11">
                  <c:v>2021-22</c:v>
                </c:pt>
                <c:pt idx="12">
                  <c:v>2022-23</c:v>
                </c:pt>
              </c:strCache>
            </c:strRef>
          </c:cat>
          <c:val>
            <c:numRef>
              <c:f>'Graphique 4'!$B$6:$B$18</c:f>
              <c:numCache>
                <c:formatCode>#\ ##0.0</c:formatCode>
                <c:ptCount val="13"/>
                <c:pt idx="0">
                  <c:v>100</c:v>
                </c:pt>
                <c:pt idx="1">
                  <c:v>101.03175043513923</c:v>
                </c:pt>
                <c:pt idx="2">
                  <c:v>102.27284817001289</c:v>
                </c:pt>
                <c:pt idx="3">
                  <c:v>104.4899275921457</c:v>
                </c:pt>
                <c:pt idx="4">
                  <c:v>106.43479832590799</c:v>
                </c:pt>
                <c:pt idx="5">
                  <c:v>109.22232054045922</c:v>
                </c:pt>
                <c:pt idx="6">
                  <c:v>110.69667463826102</c:v>
                </c:pt>
                <c:pt idx="7">
                  <c:v>111.66945319743681</c:v>
                </c:pt>
                <c:pt idx="8">
                  <c:v>113.79066757193168</c:v>
                </c:pt>
                <c:pt idx="9">
                  <c:v>115.06099385056606</c:v>
                </c:pt>
                <c:pt idx="10">
                  <c:v>116.73943296625104</c:v>
                </c:pt>
                <c:pt idx="11">
                  <c:v>116.95472893242601</c:v>
                </c:pt>
                <c:pt idx="12">
                  <c:v>113.07482564401464</c:v>
                </c:pt>
              </c:numCache>
            </c:numRef>
          </c:val>
          <c:smooth val="0"/>
          <c:extLst>
            <c:ext xmlns:c16="http://schemas.microsoft.com/office/drawing/2014/chart" uri="{C3380CC4-5D6E-409C-BE32-E72D297353CC}">
              <c16:uniqueId val="{00000000-753A-4527-999E-9F5A5FCAA151}"/>
            </c:ext>
          </c:extLst>
        </c:ser>
        <c:ser>
          <c:idx val="1"/>
          <c:order val="1"/>
          <c:tx>
            <c:strRef>
              <c:f>'Graphique 4'!$C$5</c:f>
              <c:strCache>
                <c:ptCount val="1"/>
                <c:pt idx="0">
                  <c:v>Public hors MESR (1)</c:v>
                </c:pt>
              </c:strCache>
            </c:strRef>
          </c:tx>
          <c:spPr>
            <a:ln w="25400">
              <a:solidFill>
                <a:schemeClr val="bg1">
                  <a:lumMod val="65000"/>
                </a:schemeClr>
              </a:solidFill>
              <a:prstDash val="solid"/>
            </a:ln>
          </c:spPr>
          <c:marker>
            <c:symbol val="none"/>
          </c:marker>
          <c:cat>
            <c:strRef>
              <c:f>'Graphique 4'!$A$6:$A$18</c:f>
              <c:strCache>
                <c:ptCount val="13"/>
                <c:pt idx="0">
                  <c:v>2010-11</c:v>
                </c:pt>
                <c:pt idx="1">
                  <c:v>2011-12</c:v>
                </c:pt>
                <c:pt idx="2">
                  <c:v>2012-13</c:v>
                </c:pt>
                <c:pt idx="3">
                  <c:v>2013-14</c:v>
                </c:pt>
                <c:pt idx="4">
                  <c:v>2014-15</c:v>
                </c:pt>
                <c:pt idx="5">
                  <c:v>2015-16</c:v>
                </c:pt>
                <c:pt idx="6">
                  <c:v>2016-17</c:v>
                </c:pt>
                <c:pt idx="7">
                  <c:v>2017-18</c:v>
                </c:pt>
                <c:pt idx="8">
                  <c:v>2018-19</c:v>
                </c:pt>
                <c:pt idx="9">
                  <c:v>2019-20</c:v>
                </c:pt>
                <c:pt idx="10">
                  <c:v>2020-21</c:v>
                </c:pt>
                <c:pt idx="11">
                  <c:v>2021-22</c:v>
                </c:pt>
                <c:pt idx="12">
                  <c:v>2022-23</c:v>
                </c:pt>
              </c:strCache>
            </c:strRef>
          </c:cat>
          <c:val>
            <c:numRef>
              <c:f>'Graphique 4'!$C$6:$C$18</c:f>
              <c:numCache>
                <c:formatCode>#\ ##0.0</c:formatCode>
                <c:ptCount val="13"/>
                <c:pt idx="0">
                  <c:v>100</c:v>
                </c:pt>
                <c:pt idx="1">
                  <c:v>102.26686839695846</c:v>
                </c:pt>
                <c:pt idx="2">
                  <c:v>105.29412146674372</c:v>
                </c:pt>
                <c:pt idx="3">
                  <c:v>102.82205959701561</c:v>
                </c:pt>
                <c:pt idx="4">
                  <c:v>109.65058668450204</c:v>
                </c:pt>
                <c:pt idx="5">
                  <c:v>109.46487360471686</c:v>
                </c:pt>
                <c:pt idx="6">
                  <c:v>107.45060097012357</c:v>
                </c:pt>
                <c:pt idx="7">
                  <c:v>111.54797696118857</c:v>
                </c:pt>
                <c:pt idx="8">
                  <c:v>113.67198914292764</c:v>
                </c:pt>
                <c:pt idx="9">
                  <c:v>115.68496308465529</c:v>
                </c:pt>
                <c:pt idx="10">
                  <c:v>119.76870280063116</c:v>
                </c:pt>
                <c:pt idx="11">
                  <c:v>124.92191609145395</c:v>
                </c:pt>
                <c:pt idx="12">
                  <c:v>124.37971182005312</c:v>
                </c:pt>
              </c:numCache>
            </c:numRef>
          </c:val>
          <c:smooth val="0"/>
          <c:extLst>
            <c:ext xmlns:c16="http://schemas.microsoft.com/office/drawing/2014/chart" uri="{C3380CC4-5D6E-409C-BE32-E72D297353CC}">
              <c16:uniqueId val="{00000001-753A-4527-999E-9F5A5FCAA151}"/>
            </c:ext>
          </c:extLst>
        </c:ser>
        <c:ser>
          <c:idx val="2"/>
          <c:order val="2"/>
          <c:tx>
            <c:strRef>
              <c:f>'Graphique 4'!$D$5</c:f>
              <c:strCache>
                <c:ptCount val="1"/>
                <c:pt idx="0">
                  <c:v>Privé</c:v>
                </c:pt>
              </c:strCache>
            </c:strRef>
          </c:tx>
          <c:spPr>
            <a:ln w="25400">
              <a:solidFill>
                <a:schemeClr val="tx1"/>
              </a:solidFill>
              <a:prstDash val="solid"/>
            </a:ln>
          </c:spPr>
          <c:marker>
            <c:symbol val="none"/>
          </c:marker>
          <c:cat>
            <c:strRef>
              <c:f>'Graphique 4'!$A$6:$A$18</c:f>
              <c:strCache>
                <c:ptCount val="13"/>
                <c:pt idx="0">
                  <c:v>2010-11</c:v>
                </c:pt>
                <c:pt idx="1">
                  <c:v>2011-12</c:v>
                </c:pt>
                <c:pt idx="2">
                  <c:v>2012-13</c:v>
                </c:pt>
                <c:pt idx="3">
                  <c:v>2013-14</c:v>
                </c:pt>
                <c:pt idx="4">
                  <c:v>2014-15</c:v>
                </c:pt>
                <c:pt idx="5">
                  <c:v>2015-16</c:v>
                </c:pt>
                <c:pt idx="6">
                  <c:v>2016-17</c:v>
                </c:pt>
                <c:pt idx="7">
                  <c:v>2017-18</c:v>
                </c:pt>
                <c:pt idx="8">
                  <c:v>2018-19</c:v>
                </c:pt>
                <c:pt idx="9">
                  <c:v>2019-20</c:v>
                </c:pt>
                <c:pt idx="10">
                  <c:v>2020-21</c:v>
                </c:pt>
                <c:pt idx="11">
                  <c:v>2021-22</c:v>
                </c:pt>
                <c:pt idx="12">
                  <c:v>2022-23</c:v>
                </c:pt>
              </c:strCache>
            </c:strRef>
          </c:cat>
          <c:val>
            <c:numRef>
              <c:f>'Graphique 4'!$D$6:$D$18</c:f>
              <c:numCache>
                <c:formatCode>#\ ##0.0</c:formatCode>
                <c:ptCount val="13"/>
                <c:pt idx="0">
                  <c:v>100</c:v>
                </c:pt>
                <c:pt idx="1">
                  <c:v>103.2037627094372</c:v>
                </c:pt>
                <c:pt idx="2">
                  <c:v>105.47758842904196</c:v>
                </c:pt>
                <c:pt idx="3">
                  <c:v>108.63883717599886</c:v>
                </c:pt>
                <c:pt idx="4">
                  <c:v>106.98974294715738</c:v>
                </c:pt>
                <c:pt idx="5">
                  <c:v>110.04291672633539</c:v>
                </c:pt>
                <c:pt idx="6">
                  <c:v>115.58002470284978</c:v>
                </c:pt>
                <c:pt idx="7">
                  <c:v>126.58353322354289</c:v>
                </c:pt>
                <c:pt idx="8">
                  <c:v>132.04791994844624</c:v>
                </c:pt>
                <c:pt idx="9">
                  <c:v>138.11331984820279</c:v>
                </c:pt>
                <c:pt idx="10">
                  <c:v>149.94092796792211</c:v>
                </c:pt>
                <c:pt idx="11">
                  <c:v>166.04454568237148</c:v>
                </c:pt>
                <c:pt idx="12">
                  <c:v>171.59396033223544</c:v>
                </c:pt>
              </c:numCache>
            </c:numRef>
          </c:val>
          <c:smooth val="0"/>
          <c:extLst>
            <c:ext xmlns:c16="http://schemas.microsoft.com/office/drawing/2014/chart" uri="{C3380CC4-5D6E-409C-BE32-E72D297353CC}">
              <c16:uniqueId val="{00000002-753A-4527-999E-9F5A5FCAA151}"/>
            </c:ext>
          </c:extLst>
        </c:ser>
        <c:ser>
          <c:idx val="3"/>
          <c:order val="3"/>
          <c:tx>
            <c:strRef>
              <c:f>'Graphique 4'!$E$5</c:f>
              <c:strCache>
                <c:ptCount val="1"/>
                <c:pt idx="0">
                  <c:v>Public</c:v>
                </c:pt>
              </c:strCache>
            </c:strRef>
          </c:tx>
          <c:spPr>
            <a:ln>
              <a:solidFill>
                <a:srgbClr val="00FFFF"/>
              </a:solidFill>
            </a:ln>
          </c:spPr>
          <c:marker>
            <c:symbol val="none"/>
          </c:marker>
          <c:cat>
            <c:strRef>
              <c:f>'Graphique 4'!$A$6:$A$18</c:f>
              <c:strCache>
                <c:ptCount val="13"/>
                <c:pt idx="0">
                  <c:v>2010-11</c:v>
                </c:pt>
                <c:pt idx="1">
                  <c:v>2011-12</c:v>
                </c:pt>
                <c:pt idx="2">
                  <c:v>2012-13</c:v>
                </c:pt>
                <c:pt idx="3">
                  <c:v>2013-14</c:v>
                </c:pt>
                <c:pt idx="4">
                  <c:v>2014-15</c:v>
                </c:pt>
                <c:pt idx="5">
                  <c:v>2015-16</c:v>
                </c:pt>
                <c:pt idx="6">
                  <c:v>2016-17</c:v>
                </c:pt>
                <c:pt idx="7">
                  <c:v>2017-18</c:v>
                </c:pt>
                <c:pt idx="8">
                  <c:v>2018-19</c:v>
                </c:pt>
                <c:pt idx="9">
                  <c:v>2019-20</c:v>
                </c:pt>
                <c:pt idx="10">
                  <c:v>2020-21</c:v>
                </c:pt>
                <c:pt idx="11">
                  <c:v>2021-22</c:v>
                </c:pt>
                <c:pt idx="12">
                  <c:v>2022-23</c:v>
                </c:pt>
              </c:strCache>
            </c:strRef>
          </c:cat>
          <c:val>
            <c:numRef>
              <c:f>'Graphique 4'!$E$6:$E$18</c:f>
              <c:numCache>
                <c:formatCode>#\ ##0.0</c:formatCode>
                <c:ptCount val="13"/>
                <c:pt idx="0">
                  <c:v>100</c:v>
                </c:pt>
                <c:pt idx="1">
                  <c:v>101.13174002729339</c:v>
                </c:pt>
                <c:pt idx="2">
                  <c:v>102.51743686037685</c:v>
                </c:pt>
                <c:pt idx="3">
                  <c:v>104.35490450467121</c:v>
                </c:pt>
                <c:pt idx="4">
                  <c:v>106.69513408036201</c:v>
                </c:pt>
                <c:pt idx="5">
                  <c:v>109.24195654505196</c:v>
                </c:pt>
                <c:pt idx="6">
                  <c:v>110.43388712143036</c:v>
                </c:pt>
                <c:pt idx="7">
                  <c:v>111.6596190279936</c:v>
                </c:pt>
                <c:pt idx="8">
                  <c:v>113.78105990037281</c:v>
                </c:pt>
                <c:pt idx="9">
                  <c:v>115.11150759189441</c:v>
                </c:pt>
                <c:pt idx="10">
                  <c:v>116.98466902031865</c:v>
                </c:pt>
                <c:pt idx="11">
                  <c:v>117.59971655245357</c:v>
                </c:pt>
                <c:pt idx="12">
                  <c:v>113.99001835680326</c:v>
                </c:pt>
              </c:numCache>
            </c:numRef>
          </c:val>
          <c:smooth val="0"/>
          <c:extLst>
            <c:ext xmlns:c16="http://schemas.microsoft.com/office/drawing/2014/chart" uri="{C3380CC4-5D6E-409C-BE32-E72D297353CC}">
              <c16:uniqueId val="{00000000-24AE-4B40-970C-7F818F03275C}"/>
            </c:ext>
          </c:extLst>
        </c:ser>
        <c:ser>
          <c:idx val="4"/>
          <c:order val="4"/>
          <c:tx>
            <c:strRef>
              <c:f>'Graphique 4'!$F$5</c:f>
              <c:strCache>
                <c:ptCount val="1"/>
                <c:pt idx="0">
                  <c:v>Ensemble</c:v>
                </c:pt>
              </c:strCache>
            </c:strRef>
          </c:tx>
          <c:spPr>
            <a:ln>
              <a:solidFill>
                <a:srgbClr val="0070C0"/>
              </a:solidFill>
            </a:ln>
          </c:spPr>
          <c:marker>
            <c:symbol val="none"/>
          </c:marker>
          <c:cat>
            <c:strRef>
              <c:f>'Graphique 4'!$A$6:$A$18</c:f>
              <c:strCache>
                <c:ptCount val="13"/>
                <c:pt idx="0">
                  <c:v>2010-11</c:v>
                </c:pt>
                <c:pt idx="1">
                  <c:v>2011-12</c:v>
                </c:pt>
                <c:pt idx="2">
                  <c:v>2012-13</c:v>
                </c:pt>
                <c:pt idx="3">
                  <c:v>2013-14</c:v>
                </c:pt>
                <c:pt idx="4">
                  <c:v>2014-15</c:v>
                </c:pt>
                <c:pt idx="5">
                  <c:v>2015-16</c:v>
                </c:pt>
                <c:pt idx="6">
                  <c:v>2016-17</c:v>
                </c:pt>
                <c:pt idx="7">
                  <c:v>2017-18</c:v>
                </c:pt>
                <c:pt idx="8">
                  <c:v>2018-19</c:v>
                </c:pt>
                <c:pt idx="9">
                  <c:v>2019-20</c:v>
                </c:pt>
                <c:pt idx="10">
                  <c:v>2020-21</c:v>
                </c:pt>
                <c:pt idx="11">
                  <c:v>2021-22</c:v>
                </c:pt>
                <c:pt idx="12">
                  <c:v>2022-23</c:v>
                </c:pt>
              </c:strCache>
            </c:strRef>
          </c:cat>
          <c:val>
            <c:numRef>
              <c:f>'Graphique 4'!$F$6:$F$18</c:f>
              <c:numCache>
                <c:formatCode>#\ ##0.0</c:formatCode>
                <c:ptCount val="13"/>
                <c:pt idx="0">
                  <c:v>100</c:v>
                </c:pt>
                <c:pt idx="1">
                  <c:v>101.52592112051572</c:v>
                </c:pt>
                <c:pt idx="2">
                  <c:v>103.08057537787268</c:v>
                </c:pt>
                <c:pt idx="3">
                  <c:v>105.16987881852747</c:v>
                </c:pt>
                <c:pt idx="4">
                  <c:v>106.75118039982905</c:v>
                </c:pt>
                <c:pt idx="5">
                  <c:v>109.39433101595263</c:v>
                </c:pt>
                <c:pt idx="6">
                  <c:v>111.41288708856277</c:v>
                </c:pt>
                <c:pt idx="7">
                  <c:v>114.4987408500922</c:v>
                </c:pt>
                <c:pt idx="8">
                  <c:v>117.2561429318186</c:v>
                </c:pt>
                <c:pt idx="9">
                  <c:v>119.48736678466408</c:v>
                </c:pt>
                <c:pt idx="10">
                  <c:v>123.25425974074622</c:v>
                </c:pt>
                <c:pt idx="11">
                  <c:v>126.81584911314641</c:v>
                </c:pt>
                <c:pt idx="12">
                  <c:v>124.94857832695671</c:v>
                </c:pt>
              </c:numCache>
            </c:numRef>
          </c:val>
          <c:smooth val="0"/>
          <c:extLst>
            <c:ext xmlns:c16="http://schemas.microsoft.com/office/drawing/2014/chart" uri="{C3380CC4-5D6E-409C-BE32-E72D297353CC}">
              <c16:uniqueId val="{00000001-24AE-4B40-970C-7F818F03275C}"/>
            </c:ext>
          </c:extLst>
        </c:ser>
        <c:dLbls>
          <c:showLegendKey val="0"/>
          <c:showVal val="0"/>
          <c:showCatName val="0"/>
          <c:showSerName val="0"/>
          <c:showPercent val="0"/>
          <c:showBubbleSize val="0"/>
        </c:dLbls>
        <c:smooth val="0"/>
        <c:axId val="203411840"/>
        <c:axId val="203413376"/>
      </c:lineChart>
      <c:catAx>
        <c:axId val="2034118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203413376"/>
        <c:crosses val="autoZero"/>
        <c:auto val="1"/>
        <c:lblAlgn val="ctr"/>
        <c:lblOffset val="100"/>
        <c:tickLblSkip val="1"/>
        <c:tickMarkSkip val="1"/>
        <c:noMultiLvlLbl val="0"/>
      </c:catAx>
      <c:valAx>
        <c:axId val="203413376"/>
        <c:scaling>
          <c:orientation val="minMax"/>
          <c:max val="180"/>
          <c:min val="9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203411840"/>
        <c:crosses val="autoZero"/>
        <c:crossBetween val="between"/>
        <c:majorUnit val="10"/>
      </c:valAx>
      <c:spPr>
        <a:noFill/>
        <a:ln w="12700">
          <a:solidFill>
            <a:sysClr val="windowText" lastClr="000000"/>
          </a:solidFill>
          <a:prstDash val="solid"/>
        </a:ln>
      </c:spPr>
    </c:plotArea>
    <c:legend>
      <c:legendPos val="r"/>
      <c:layout>
        <c:manualLayout>
          <c:xMode val="edge"/>
          <c:yMode val="edge"/>
          <c:x val="0.24403196947861622"/>
          <c:y val="9.4660194174757281E-2"/>
          <c:w val="0.21713839608608684"/>
          <c:h val="0.3079638079379473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no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022" footer="0.49212598450000022"/>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5495014141660997"/>
          <c:y val="0.10537936316679276"/>
          <c:w val="0.62105036450716478"/>
          <c:h val="0.81705150976909413"/>
        </c:manualLayout>
      </c:layout>
      <c:barChart>
        <c:barDir val="bar"/>
        <c:grouping val="clustered"/>
        <c:varyColors val="0"/>
        <c:ser>
          <c:idx val="0"/>
          <c:order val="0"/>
          <c:tx>
            <c:strRef>
              <c:f>'Graphique 5'!$B$3</c:f>
              <c:strCache>
                <c:ptCount val="1"/>
                <c:pt idx="0">
                  <c:v>2012-2013</c:v>
                </c:pt>
              </c:strCache>
            </c:strRef>
          </c:tx>
          <c:spPr>
            <a:solidFill>
              <a:schemeClr val="bg1">
                <a:lumMod val="65000"/>
              </a:schemeClr>
            </a:solidFill>
            <a:ln w="15875">
              <a:noFill/>
            </a:ln>
          </c:spPr>
          <c:invertIfNegative val="0"/>
          <c:dPt>
            <c:idx val="6"/>
            <c:invertIfNegative val="0"/>
            <c:bubble3D val="0"/>
            <c:spPr>
              <a:solidFill>
                <a:schemeClr val="bg1">
                  <a:lumMod val="65000"/>
                </a:schemeClr>
              </a:solidFill>
              <a:ln w="25400">
                <a:noFill/>
              </a:ln>
            </c:spPr>
            <c:extLst>
              <c:ext xmlns:c16="http://schemas.microsoft.com/office/drawing/2014/chart" uri="{C3380CC4-5D6E-409C-BE32-E72D297353CC}">
                <c16:uniqueId val="{00000001-0E43-4030-8139-707B662A7971}"/>
              </c:ext>
            </c:extLst>
          </c:dPt>
          <c:dPt>
            <c:idx val="7"/>
            <c:invertIfNegative val="0"/>
            <c:bubble3D val="0"/>
            <c:spPr>
              <a:solidFill>
                <a:schemeClr val="bg1">
                  <a:lumMod val="65000"/>
                </a:schemeClr>
              </a:solidFill>
              <a:ln w="15875">
                <a:solidFill>
                  <a:sysClr val="windowText" lastClr="000000"/>
                </a:solidFill>
              </a:ln>
            </c:spPr>
            <c:extLst>
              <c:ext xmlns:c16="http://schemas.microsoft.com/office/drawing/2014/chart" uri="{C3380CC4-5D6E-409C-BE32-E72D297353CC}">
                <c16:uniqueId val="{00000007-70F6-4C22-A2C8-C91CCC06B26A}"/>
              </c:ext>
            </c:extLst>
          </c:dPt>
          <c:dLbls>
            <c:dLbl>
              <c:idx val="7"/>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70F6-4C22-A2C8-C91CCC06B26A}"/>
                </c:ext>
              </c:extLst>
            </c:dLbl>
            <c:spPr>
              <a:noFill/>
              <a:ln>
                <a:noFill/>
              </a:ln>
              <a:effectLst/>
            </c:spPr>
            <c:txPr>
              <a:bodyPr wrap="square" lIns="38100" tIns="19050" rIns="38100" bIns="19050" anchor="ctr">
                <a:spAutoFit/>
              </a:bodyPr>
              <a:lstStyle/>
              <a:p>
                <a:pPr>
                  <a:defRPr sz="800" b="1"/>
                </a:pPr>
                <a:endParaRPr lang="fr-FR"/>
              </a:p>
            </c:txPr>
            <c:dLblPos val="outEnd"/>
            <c:showLegendKey val="0"/>
            <c:showVal val="0"/>
            <c:showCatName val="0"/>
            <c:showSerName val="0"/>
            <c:showPercent val="0"/>
            <c:showBubbleSize val="0"/>
            <c:extLst>
              <c:ext xmlns:c15="http://schemas.microsoft.com/office/drawing/2012/chart" uri="{CE6537A1-D6FC-4f65-9D91-7224C49458BB}">
                <c15:showLeaderLines val="1"/>
              </c:ext>
            </c:extLst>
          </c:dLbls>
          <c:cat>
            <c:strRef>
              <c:f>'Graphique 5'!$A$4:$A$16</c:f>
              <c:strCache>
                <c:ptCount val="13"/>
                <c:pt idx="0">
                  <c:v>Formations d'ingénieurs (2)</c:v>
                </c:pt>
                <c:pt idx="1">
                  <c:v>IUT</c:v>
                </c:pt>
                <c:pt idx="2">
                  <c:v>CPGE</c:v>
                </c:pt>
                <c:pt idx="3">
                  <c:v>Universités - Sciences, Staps</c:v>
                </c:pt>
                <c:pt idx="4">
                  <c:v>STS et assimilés (apprentis)</c:v>
                </c:pt>
                <c:pt idx="5">
                  <c:v>STS et assimilés (scolaires)</c:v>
                </c:pt>
                <c:pt idx="6">
                  <c:v>Écoles de commerce, gestion et comptabilité</c:v>
                </c:pt>
                <c:pt idx="7">
                  <c:v>Ensemble des étudiants</c:v>
                </c:pt>
                <c:pt idx="8">
                  <c:v>Ensemble des universités (hors IUT)</c:v>
                </c:pt>
                <c:pt idx="9">
                  <c:v>Universités - Droit, économie, AES</c:v>
                </c:pt>
                <c:pt idx="10">
                  <c:v>Universités - Médecine, odontologie, pharmacie</c:v>
                </c:pt>
                <c:pt idx="11">
                  <c:v>Universités - Langues, lettres, sciences humaines</c:v>
                </c:pt>
                <c:pt idx="12">
                  <c:v>Formations paramédicales et sociales (1)</c:v>
                </c:pt>
              </c:strCache>
            </c:strRef>
          </c:cat>
          <c:val>
            <c:numRef>
              <c:f>'Graphique 5'!$B$4:$B$16</c:f>
              <c:numCache>
                <c:formatCode>0.0</c:formatCode>
                <c:ptCount val="13"/>
                <c:pt idx="0">
                  <c:v>26.979856769183801</c:v>
                </c:pt>
                <c:pt idx="1">
                  <c:v>39.660960785510603</c:v>
                </c:pt>
                <c:pt idx="2">
                  <c:v>42.067623449282401</c:v>
                </c:pt>
                <c:pt idx="3">
                  <c:v>37.384103832142102</c:v>
                </c:pt>
                <c:pt idx="4">
                  <c:v>36.578218847641999</c:v>
                </c:pt>
                <c:pt idx="5">
                  <c:v>50.890911169003097</c:v>
                </c:pt>
                <c:pt idx="6">
                  <c:v>49.092282685835897</c:v>
                </c:pt>
                <c:pt idx="7">
                  <c:v>54.868219954550199</c:v>
                </c:pt>
                <c:pt idx="8">
                  <c:v>58.449789892722201</c:v>
                </c:pt>
                <c:pt idx="9">
                  <c:v>59.170476628100701</c:v>
                </c:pt>
                <c:pt idx="10">
                  <c:v>63.039387142151099</c:v>
                </c:pt>
                <c:pt idx="11">
                  <c:v>69.988249553575599</c:v>
                </c:pt>
                <c:pt idx="12">
                  <c:v>84.026780005265707</c:v>
                </c:pt>
              </c:numCache>
            </c:numRef>
          </c:val>
          <c:extLst>
            <c:ext xmlns:c16="http://schemas.microsoft.com/office/drawing/2014/chart" uri="{C3380CC4-5D6E-409C-BE32-E72D297353CC}">
              <c16:uniqueId val="{00000002-0E43-4030-8139-707B662A7971}"/>
            </c:ext>
          </c:extLst>
        </c:ser>
        <c:ser>
          <c:idx val="1"/>
          <c:order val="1"/>
          <c:tx>
            <c:strRef>
              <c:f>'Graphique 5'!$C$3</c:f>
              <c:strCache>
                <c:ptCount val="1"/>
                <c:pt idx="0">
                  <c:v>2022-2023</c:v>
                </c:pt>
              </c:strCache>
            </c:strRef>
          </c:tx>
          <c:spPr>
            <a:solidFill>
              <a:schemeClr val="accent5">
                <a:lumMod val="75000"/>
              </a:schemeClr>
            </a:solidFill>
            <a:ln>
              <a:noFill/>
            </a:ln>
          </c:spPr>
          <c:invertIfNegative val="0"/>
          <c:dPt>
            <c:idx val="6"/>
            <c:invertIfNegative val="0"/>
            <c:bubble3D val="0"/>
            <c:spPr>
              <a:solidFill>
                <a:schemeClr val="accent5">
                  <a:lumMod val="75000"/>
                </a:schemeClr>
              </a:solidFill>
              <a:ln w="22225">
                <a:noFill/>
              </a:ln>
            </c:spPr>
            <c:extLst>
              <c:ext xmlns:c16="http://schemas.microsoft.com/office/drawing/2014/chart" uri="{C3380CC4-5D6E-409C-BE32-E72D297353CC}">
                <c16:uniqueId val="{00000004-0E43-4030-8139-707B662A7971}"/>
              </c:ext>
            </c:extLst>
          </c:dPt>
          <c:dPt>
            <c:idx val="7"/>
            <c:invertIfNegative val="0"/>
            <c:bubble3D val="0"/>
            <c:spPr>
              <a:solidFill>
                <a:schemeClr val="accent5">
                  <a:lumMod val="75000"/>
                </a:schemeClr>
              </a:solidFill>
              <a:ln w="19050">
                <a:solidFill>
                  <a:sysClr val="windowText" lastClr="000000"/>
                </a:solidFill>
              </a:ln>
            </c:spPr>
            <c:extLst>
              <c:ext xmlns:c16="http://schemas.microsoft.com/office/drawing/2014/chart" uri="{C3380CC4-5D6E-409C-BE32-E72D297353CC}">
                <c16:uniqueId val="{00000005-70F6-4C22-A2C8-C91CCC06B26A}"/>
              </c:ext>
            </c:extLst>
          </c:dPt>
          <c:dLbls>
            <c:dLbl>
              <c:idx val="7"/>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70F6-4C22-A2C8-C91CCC06B26A}"/>
                </c:ext>
              </c:extLst>
            </c:dLbl>
            <c:spPr>
              <a:noFill/>
              <a:ln>
                <a:noFill/>
              </a:ln>
              <a:effectLst/>
            </c:spPr>
            <c:txPr>
              <a:bodyPr wrap="square" lIns="38100" tIns="19050" rIns="38100" bIns="19050" anchor="ctr">
                <a:spAutoFit/>
              </a:bodyPr>
              <a:lstStyle/>
              <a:p>
                <a:pPr>
                  <a:defRPr sz="800" b="1"/>
                </a:pPr>
                <a:endParaRPr lang="fr-FR"/>
              </a:p>
            </c:txPr>
            <c:dLblPos val="outEnd"/>
            <c:showLegendKey val="0"/>
            <c:showVal val="0"/>
            <c:showCatName val="0"/>
            <c:showSerName val="0"/>
            <c:showPercent val="0"/>
            <c:showBubbleSize val="0"/>
            <c:extLst>
              <c:ext xmlns:c15="http://schemas.microsoft.com/office/drawing/2012/chart" uri="{CE6537A1-D6FC-4f65-9D91-7224C49458BB}">
                <c15:showLeaderLines val="1"/>
              </c:ext>
            </c:extLst>
          </c:dLbls>
          <c:cat>
            <c:strRef>
              <c:f>'Graphique 5'!$A$4:$A$16</c:f>
              <c:strCache>
                <c:ptCount val="13"/>
                <c:pt idx="0">
                  <c:v>Formations d'ingénieurs (2)</c:v>
                </c:pt>
                <c:pt idx="1">
                  <c:v>IUT</c:v>
                </c:pt>
                <c:pt idx="2">
                  <c:v>CPGE</c:v>
                </c:pt>
                <c:pt idx="3">
                  <c:v>Universités - Sciences, Staps</c:v>
                </c:pt>
                <c:pt idx="4">
                  <c:v>STS et assimilés (apprentis)</c:v>
                </c:pt>
                <c:pt idx="5">
                  <c:v>STS et assimilés (scolaires)</c:v>
                </c:pt>
                <c:pt idx="6">
                  <c:v>Écoles de commerce, gestion et comptabilité</c:v>
                </c:pt>
                <c:pt idx="7">
                  <c:v>Ensemble des étudiants</c:v>
                </c:pt>
                <c:pt idx="8">
                  <c:v>Ensemble des universités (hors IUT)</c:v>
                </c:pt>
                <c:pt idx="9">
                  <c:v>Universités - Droit, économie, AES</c:v>
                </c:pt>
                <c:pt idx="10">
                  <c:v>Universités - Médecine, odontologie, pharmacie</c:v>
                </c:pt>
                <c:pt idx="11">
                  <c:v>Universités - Langues, lettres, sciences humaines</c:v>
                </c:pt>
                <c:pt idx="12">
                  <c:v>Formations paramédicales et sociales (1)</c:v>
                </c:pt>
              </c:strCache>
            </c:strRef>
          </c:cat>
          <c:val>
            <c:numRef>
              <c:f>'Graphique 5'!$C$4:$C$16</c:f>
              <c:numCache>
                <c:formatCode>0.0</c:formatCode>
                <c:ptCount val="13"/>
                <c:pt idx="0">
                  <c:v>29.5775837792171</c:v>
                </c:pt>
                <c:pt idx="1">
                  <c:v>39.583799507719803</c:v>
                </c:pt>
                <c:pt idx="2">
                  <c:v>40.947957222413898</c:v>
                </c:pt>
                <c:pt idx="3">
                  <c:v>43.266520287718301</c:v>
                </c:pt>
                <c:pt idx="4">
                  <c:v>43.810992991046</c:v>
                </c:pt>
                <c:pt idx="5">
                  <c:v>47.544661477198403</c:v>
                </c:pt>
                <c:pt idx="6">
                  <c:v>51.7967043064546</c:v>
                </c:pt>
                <c:pt idx="7">
                  <c:v>55.776808956640501</c:v>
                </c:pt>
                <c:pt idx="8">
                  <c:v>60.738978888713703</c:v>
                </c:pt>
                <c:pt idx="9">
                  <c:v>62.7936006259362</c:v>
                </c:pt>
                <c:pt idx="10">
                  <c:v>66.512221476181793</c:v>
                </c:pt>
                <c:pt idx="11">
                  <c:v>70.5856604743432</c:v>
                </c:pt>
                <c:pt idx="12">
                  <c:v>84.269183282107903</c:v>
                </c:pt>
              </c:numCache>
            </c:numRef>
          </c:val>
          <c:extLst>
            <c:ext xmlns:c16="http://schemas.microsoft.com/office/drawing/2014/chart" uri="{C3380CC4-5D6E-409C-BE32-E72D297353CC}">
              <c16:uniqueId val="{00000005-0E43-4030-8139-707B662A7971}"/>
            </c:ext>
          </c:extLst>
        </c:ser>
        <c:dLbls>
          <c:dLblPos val="outEnd"/>
          <c:showLegendKey val="0"/>
          <c:showVal val="1"/>
          <c:showCatName val="0"/>
          <c:showSerName val="0"/>
          <c:showPercent val="0"/>
          <c:showBubbleSize val="0"/>
        </c:dLbls>
        <c:gapWidth val="150"/>
        <c:axId val="171015552"/>
        <c:axId val="171021440"/>
      </c:barChart>
      <c:catAx>
        <c:axId val="171015552"/>
        <c:scaling>
          <c:orientation val="minMax"/>
        </c:scaling>
        <c:delete val="0"/>
        <c:axPos val="l"/>
        <c:numFmt formatCode="General" sourceLinked="1"/>
        <c:majorTickMark val="out"/>
        <c:minorTickMark val="none"/>
        <c:tickLblPos val="nextTo"/>
        <c:txPr>
          <a:bodyPr rot="0" vert="horz"/>
          <a:lstStyle/>
          <a:p>
            <a:pPr>
              <a:defRPr sz="1000" b="0" i="0" u="none" strike="noStrike" baseline="0">
                <a:solidFill>
                  <a:srgbClr val="000000"/>
                </a:solidFill>
                <a:latin typeface="Arial"/>
                <a:ea typeface="Arial"/>
                <a:cs typeface="Arial"/>
              </a:defRPr>
            </a:pPr>
            <a:endParaRPr lang="fr-FR"/>
          </a:p>
        </c:txPr>
        <c:crossAx val="171021440"/>
        <c:crosses val="autoZero"/>
        <c:auto val="1"/>
        <c:lblAlgn val="ctr"/>
        <c:lblOffset val="100"/>
        <c:tickLblSkip val="1"/>
        <c:tickMarkSkip val="1"/>
        <c:noMultiLvlLbl val="0"/>
      </c:catAx>
      <c:valAx>
        <c:axId val="171021440"/>
        <c:scaling>
          <c:orientation val="minMax"/>
        </c:scaling>
        <c:delete val="0"/>
        <c:axPos val="b"/>
        <c:numFmt formatCode="#,##0" sourceLinked="0"/>
        <c:majorTickMark val="out"/>
        <c:minorTickMark val="none"/>
        <c:tickLblPos val="nextTo"/>
        <c:txPr>
          <a:bodyPr rot="0" vert="horz"/>
          <a:lstStyle/>
          <a:p>
            <a:pPr>
              <a:defRPr sz="1000" b="0" i="0" u="none" strike="noStrike" baseline="0">
                <a:solidFill>
                  <a:srgbClr val="000000"/>
                </a:solidFill>
                <a:latin typeface="Arial"/>
                <a:ea typeface="Arial"/>
                <a:cs typeface="Arial"/>
              </a:defRPr>
            </a:pPr>
            <a:endParaRPr lang="fr-FR"/>
          </a:p>
        </c:txPr>
        <c:crossAx val="171015552"/>
        <c:crosses val="autoZero"/>
        <c:crossBetween val="between"/>
      </c:valAx>
    </c:plotArea>
    <c:legend>
      <c:legendPos val="r"/>
      <c:layout>
        <c:manualLayout>
          <c:xMode val="edge"/>
          <c:yMode val="edge"/>
          <c:x val="0.85321694148076299"/>
          <c:y val="0.41385434471936555"/>
          <c:w val="8.2444228903976721E-2"/>
          <c:h val="7.7505907846928387E-2"/>
        </c:manualLayout>
      </c:layout>
      <c:overlay val="0"/>
      <c:spPr>
        <a:noFill/>
      </c:spPr>
      <c:txPr>
        <a:bodyPr/>
        <a:lstStyle/>
        <a:p>
          <a:pPr>
            <a:defRPr sz="850" b="0" i="0" u="none" strike="noStrike" baseline="0">
              <a:solidFill>
                <a:srgbClr val="000000"/>
              </a:solidFill>
              <a:latin typeface="Arial"/>
              <a:ea typeface="Arial"/>
              <a:cs typeface="Arial"/>
            </a:defRPr>
          </a:pPr>
          <a:endParaRPr lang="fr-FR"/>
        </a:p>
      </c:txPr>
    </c:legend>
    <c:plotVisOnly val="1"/>
    <c:dispBlanksAs val="gap"/>
    <c:showDLblsOverMax val="0"/>
  </c:chart>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1786784568709092"/>
          <c:y val="0.10847626184573743"/>
          <c:w val="0.65363275915462216"/>
          <c:h val="0.77890756455771093"/>
        </c:manualLayout>
      </c:layout>
      <c:barChart>
        <c:barDir val="bar"/>
        <c:grouping val="stacked"/>
        <c:varyColors val="0"/>
        <c:ser>
          <c:idx val="0"/>
          <c:order val="0"/>
          <c:tx>
            <c:strRef>
              <c:f>'Graphique 6'!$C$3</c:f>
              <c:strCache>
                <c:ptCount val="1"/>
                <c:pt idx="0">
                  <c:v>Agriculteurs, artisans, commerçants et chefs d'entreprise</c:v>
                </c:pt>
              </c:strCache>
            </c:strRef>
          </c:tx>
          <c:invertIfNegative val="0"/>
          <c:dLbls>
            <c:numFmt formatCode="#,##0" sourceLinked="0"/>
            <c:spPr>
              <a:noFill/>
              <a:ln>
                <a:noFill/>
              </a:ln>
              <a:effectLst/>
            </c:spPr>
            <c:txPr>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'Graphique 6'!$B$4:$B$21</c:f>
              <c:strCache>
                <c:ptCount val="18"/>
                <c:pt idx="0">
                  <c:v>Ensemble</c:v>
                </c:pt>
                <c:pt idx="2">
                  <c:v>STS et assimilés (scolaires)</c:v>
                </c:pt>
                <c:pt idx="3">
                  <c:v>Ecoles paramédicales et sociales****</c:v>
                </c:pt>
                <c:pt idx="5">
                  <c:v>Ensemble univ.</c:v>
                </c:pt>
                <c:pt idx="6">
                  <c:v>STAPS </c:v>
                </c:pt>
                <c:pt idx="7">
                  <c:v>Arts, lettres, langues, SHS</c:v>
                </c:pt>
                <c:pt idx="8">
                  <c:v>Économie, AES</c:v>
                </c:pt>
                <c:pt idx="9">
                  <c:v>IUT</c:v>
                </c:pt>
                <c:pt idx="10">
                  <c:v>Sciences</c:v>
                </c:pt>
                <c:pt idx="11">
                  <c:v>Droit, sciences politiques</c:v>
                </c:pt>
                <c:pt idx="12">
                  <c:v>Form. d’ingénieurs ***</c:v>
                </c:pt>
                <c:pt idx="13">
                  <c:v>Santé</c:v>
                </c:pt>
                <c:pt idx="15">
                  <c:v>CPGE et prépas intégrées</c:v>
                </c:pt>
                <c:pt idx="16">
                  <c:v>Form. d'ingénieurs hors université***</c:v>
                </c:pt>
                <c:pt idx="17">
                  <c:v>Ecoles normales supérieures</c:v>
                </c:pt>
              </c:strCache>
            </c:strRef>
          </c:cat>
          <c:val>
            <c:numRef>
              <c:f>'Graphique 6'!$C$4:$C$21</c:f>
              <c:numCache>
                <c:formatCode>0.0</c:formatCode>
                <c:ptCount val="18"/>
                <c:pt idx="0">
                  <c:v>10.168293</c:v>
                </c:pt>
                <c:pt idx="2">
                  <c:v>11.436579</c:v>
                </c:pt>
                <c:pt idx="3">
                  <c:v>15.137756</c:v>
                </c:pt>
                <c:pt idx="5">
                  <c:v>8.6611919999999998</c:v>
                </c:pt>
                <c:pt idx="6">
                  <c:v>8.2990809999999993</c:v>
                </c:pt>
                <c:pt idx="7">
                  <c:v>7.5032259999999997</c:v>
                </c:pt>
                <c:pt idx="8">
                  <c:v>10.248787</c:v>
                </c:pt>
                <c:pt idx="9">
                  <c:v>9.5595660000000002</c:v>
                </c:pt>
                <c:pt idx="10">
                  <c:v>8.6453779999999991</c:v>
                </c:pt>
                <c:pt idx="11">
                  <c:v>9.8362079999999992</c:v>
                </c:pt>
                <c:pt idx="12">
                  <c:v>8.401116</c:v>
                </c:pt>
                <c:pt idx="13">
                  <c:v>8.6173830000000002</c:v>
                </c:pt>
                <c:pt idx="15">
                  <c:v>10.147822</c:v>
                </c:pt>
                <c:pt idx="16">
                  <c:v>11.170634</c:v>
                </c:pt>
                <c:pt idx="17">
                  <c:v>6.7334360000000002</c:v>
                </c:pt>
              </c:numCache>
            </c:numRef>
          </c:val>
          <c:extLst>
            <c:ext xmlns:c16="http://schemas.microsoft.com/office/drawing/2014/chart" uri="{C3380CC4-5D6E-409C-BE32-E72D297353CC}">
              <c16:uniqueId val="{00000000-C74E-4238-863F-01E4A97A4A56}"/>
            </c:ext>
          </c:extLst>
        </c:ser>
        <c:ser>
          <c:idx val="1"/>
          <c:order val="1"/>
          <c:tx>
            <c:strRef>
              <c:f>'Graphique 6'!$D$3</c:f>
              <c:strCache>
                <c:ptCount val="1"/>
                <c:pt idx="0">
                  <c:v>Cadres et professions intellectuelles supérieures</c:v>
                </c:pt>
              </c:strCache>
            </c:strRef>
          </c:tx>
          <c:invertIfNegative val="0"/>
          <c:dLbls>
            <c:numFmt formatCode="#,##0" sourceLinked="0"/>
            <c:spPr>
              <a:noFill/>
              <a:ln>
                <a:noFill/>
              </a:ln>
              <a:effectLst/>
            </c:spPr>
            <c:txPr>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'Graphique 6'!$B$4:$B$21</c:f>
              <c:strCache>
                <c:ptCount val="18"/>
                <c:pt idx="0">
                  <c:v>Ensemble</c:v>
                </c:pt>
                <c:pt idx="2">
                  <c:v>STS et assimilés (scolaires)</c:v>
                </c:pt>
                <c:pt idx="3">
                  <c:v>Ecoles paramédicales et sociales****</c:v>
                </c:pt>
                <c:pt idx="5">
                  <c:v>Ensemble univ.</c:v>
                </c:pt>
                <c:pt idx="6">
                  <c:v>STAPS </c:v>
                </c:pt>
                <c:pt idx="7">
                  <c:v>Arts, lettres, langues, SHS</c:v>
                </c:pt>
                <c:pt idx="8">
                  <c:v>Économie, AES</c:v>
                </c:pt>
                <c:pt idx="9">
                  <c:v>IUT</c:v>
                </c:pt>
                <c:pt idx="10">
                  <c:v>Sciences</c:v>
                </c:pt>
                <c:pt idx="11">
                  <c:v>Droit, sciences politiques</c:v>
                </c:pt>
                <c:pt idx="12">
                  <c:v>Form. d’ingénieurs ***</c:v>
                </c:pt>
                <c:pt idx="13">
                  <c:v>Santé</c:v>
                </c:pt>
                <c:pt idx="15">
                  <c:v>CPGE et prépas intégrées</c:v>
                </c:pt>
                <c:pt idx="16">
                  <c:v>Form. d'ingénieurs hors université***</c:v>
                </c:pt>
                <c:pt idx="17">
                  <c:v>Ecoles normales supérieures</c:v>
                </c:pt>
              </c:strCache>
            </c:strRef>
          </c:cat>
          <c:val>
            <c:numRef>
              <c:f>'Graphique 6'!$D$4:$D$21</c:f>
              <c:numCache>
                <c:formatCode>0.0</c:formatCode>
                <c:ptCount val="18"/>
                <c:pt idx="0">
                  <c:v>34.447141999999999</c:v>
                </c:pt>
                <c:pt idx="2">
                  <c:v>15.718711000000001</c:v>
                </c:pt>
                <c:pt idx="3">
                  <c:v>23.356164</c:v>
                </c:pt>
                <c:pt idx="5">
                  <c:v>33.754316000000003</c:v>
                </c:pt>
                <c:pt idx="6">
                  <c:v>31.104655999999999</c:v>
                </c:pt>
                <c:pt idx="7">
                  <c:v>27.317509000000001</c:v>
                </c:pt>
                <c:pt idx="8">
                  <c:v>28.874486000000001</c:v>
                </c:pt>
                <c:pt idx="9">
                  <c:v>30.623365</c:v>
                </c:pt>
                <c:pt idx="10">
                  <c:v>34.138157999999997</c:v>
                </c:pt>
                <c:pt idx="11">
                  <c:v>37.043528000000002</c:v>
                </c:pt>
                <c:pt idx="12">
                  <c:v>45.384886999999999</c:v>
                </c:pt>
                <c:pt idx="13">
                  <c:v>48.217190000000002</c:v>
                </c:pt>
                <c:pt idx="15">
                  <c:v>54.042644000000003</c:v>
                </c:pt>
                <c:pt idx="16">
                  <c:v>56.107823000000003</c:v>
                </c:pt>
                <c:pt idx="17">
                  <c:v>63.436055000000003</c:v>
                </c:pt>
              </c:numCache>
            </c:numRef>
          </c:val>
          <c:extLst>
            <c:ext xmlns:c16="http://schemas.microsoft.com/office/drawing/2014/chart" uri="{C3380CC4-5D6E-409C-BE32-E72D297353CC}">
              <c16:uniqueId val="{00000001-C74E-4238-863F-01E4A97A4A56}"/>
            </c:ext>
          </c:extLst>
        </c:ser>
        <c:ser>
          <c:idx val="2"/>
          <c:order val="2"/>
          <c:tx>
            <c:strRef>
              <c:f>'Graphique 6'!$E$3</c:f>
              <c:strCache>
                <c:ptCount val="1"/>
                <c:pt idx="0">
                  <c:v>Professions Intermédiaires</c:v>
                </c:pt>
              </c:strCache>
            </c:strRef>
          </c:tx>
          <c:invertIfNegative val="0"/>
          <c:dLbls>
            <c:numFmt formatCode="#,##0" sourceLinked="0"/>
            <c:spPr>
              <a:noFill/>
              <a:ln>
                <a:noFill/>
              </a:ln>
              <a:effectLst/>
            </c:spPr>
            <c:txPr>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'Graphique 6'!$B$4:$B$21</c:f>
              <c:strCache>
                <c:ptCount val="18"/>
                <c:pt idx="0">
                  <c:v>Ensemble</c:v>
                </c:pt>
                <c:pt idx="2">
                  <c:v>STS et assimilés (scolaires)</c:v>
                </c:pt>
                <c:pt idx="3">
                  <c:v>Ecoles paramédicales et sociales****</c:v>
                </c:pt>
                <c:pt idx="5">
                  <c:v>Ensemble univ.</c:v>
                </c:pt>
                <c:pt idx="6">
                  <c:v>STAPS </c:v>
                </c:pt>
                <c:pt idx="7">
                  <c:v>Arts, lettres, langues, SHS</c:v>
                </c:pt>
                <c:pt idx="8">
                  <c:v>Économie, AES</c:v>
                </c:pt>
                <c:pt idx="9">
                  <c:v>IUT</c:v>
                </c:pt>
                <c:pt idx="10">
                  <c:v>Sciences</c:v>
                </c:pt>
                <c:pt idx="11">
                  <c:v>Droit, sciences politiques</c:v>
                </c:pt>
                <c:pt idx="12">
                  <c:v>Form. d’ingénieurs ***</c:v>
                </c:pt>
                <c:pt idx="13">
                  <c:v>Santé</c:v>
                </c:pt>
                <c:pt idx="15">
                  <c:v>CPGE et prépas intégrées</c:v>
                </c:pt>
                <c:pt idx="16">
                  <c:v>Form. d'ingénieurs hors université***</c:v>
                </c:pt>
                <c:pt idx="17">
                  <c:v>Ecoles normales supérieures</c:v>
                </c:pt>
              </c:strCache>
            </c:strRef>
          </c:cat>
          <c:val>
            <c:numRef>
              <c:f>'Graphique 6'!$E$4:$E$21</c:f>
              <c:numCache>
                <c:formatCode>0.0</c:formatCode>
                <c:ptCount val="18"/>
                <c:pt idx="0">
                  <c:v>13.848564</c:v>
                </c:pt>
                <c:pt idx="2">
                  <c:v>14.559143000000001</c:v>
                </c:pt>
                <c:pt idx="3">
                  <c:v>9.2758199999999995</c:v>
                </c:pt>
                <c:pt idx="5">
                  <c:v>15.468391</c:v>
                </c:pt>
                <c:pt idx="6">
                  <c:v>19.541111999999998</c:v>
                </c:pt>
                <c:pt idx="7">
                  <c:v>16.153943999999999</c:v>
                </c:pt>
                <c:pt idx="8">
                  <c:v>13.601364</c:v>
                </c:pt>
                <c:pt idx="9">
                  <c:v>18.776136999999999</c:v>
                </c:pt>
                <c:pt idx="10">
                  <c:v>16.033092</c:v>
                </c:pt>
                <c:pt idx="11">
                  <c:v>13.787001</c:v>
                </c:pt>
                <c:pt idx="12">
                  <c:v>16.346418</c:v>
                </c:pt>
                <c:pt idx="13">
                  <c:v>13.083100999999999</c:v>
                </c:pt>
                <c:pt idx="15">
                  <c:v>12.560140000000001</c:v>
                </c:pt>
                <c:pt idx="16">
                  <c:v>11.867308</c:v>
                </c:pt>
                <c:pt idx="17">
                  <c:v>10.493066000000001</c:v>
                </c:pt>
              </c:numCache>
            </c:numRef>
          </c:val>
          <c:extLst>
            <c:ext xmlns:c16="http://schemas.microsoft.com/office/drawing/2014/chart" uri="{C3380CC4-5D6E-409C-BE32-E72D297353CC}">
              <c16:uniqueId val="{00000002-C74E-4238-863F-01E4A97A4A56}"/>
            </c:ext>
          </c:extLst>
        </c:ser>
        <c:ser>
          <c:idx val="3"/>
          <c:order val="3"/>
          <c:tx>
            <c:strRef>
              <c:f>'Graphique 6'!$F$3</c:f>
              <c:strCache>
                <c:ptCount val="1"/>
                <c:pt idx="0">
                  <c:v>Employés</c:v>
                </c:pt>
              </c:strCache>
            </c:strRef>
          </c:tx>
          <c:invertIfNegative val="0"/>
          <c:dLbls>
            <c:numFmt formatCode="#,##0" sourceLinked="0"/>
            <c:spPr>
              <a:noFill/>
              <a:ln>
                <a:noFill/>
              </a:ln>
              <a:effectLst/>
            </c:spPr>
            <c:txPr>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'Graphique 6'!$B$4:$B$21</c:f>
              <c:strCache>
                <c:ptCount val="18"/>
                <c:pt idx="0">
                  <c:v>Ensemble</c:v>
                </c:pt>
                <c:pt idx="2">
                  <c:v>STS et assimilés (scolaires)</c:v>
                </c:pt>
                <c:pt idx="3">
                  <c:v>Ecoles paramédicales et sociales****</c:v>
                </c:pt>
                <c:pt idx="5">
                  <c:v>Ensemble univ.</c:v>
                </c:pt>
                <c:pt idx="6">
                  <c:v>STAPS </c:v>
                </c:pt>
                <c:pt idx="7">
                  <c:v>Arts, lettres, langues, SHS</c:v>
                </c:pt>
                <c:pt idx="8">
                  <c:v>Économie, AES</c:v>
                </c:pt>
                <c:pt idx="9">
                  <c:v>IUT</c:v>
                </c:pt>
                <c:pt idx="10">
                  <c:v>Sciences</c:v>
                </c:pt>
                <c:pt idx="11">
                  <c:v>Droit, sciences politiques</c:v>
                </c:pt>
                <c:pt idx="12">
                  <c:v>Form. d’ingénieurs ***</c:v>
                </c:pt>
                <c:pt idx="13">
                  <c:v>Santé</c:v>
                </c:pt>
                <c:pt idx="15">
                  <c:v>CPGE et prépas intégrées</c:v>
                </c:pt>
                <c:pt idx="16">
                  <c:v>Form. d'ingénieurs hors université***</c:v>
                </c:pt>
                <c:pt idx="17">
                  <c:v>Ecoles normales supérieures</c:v>
                </c:pt>
              </c:strCache>
            </c:strRef>
          </c:cat>
          <c:val>
            <c:numRef>
              <c:f>'Graphique 6'!$F$4:$F$21</c:f>
              <c:numCache>
                <c:formatCode>0.0</c:formatCode>
                <c:ptCount val="18"/>
                <c:pt idx="0">
                  <c:v>17.058544000000001</c:v>
                </c:pt>
                <c:pt idx="2">
                  <c:v>19.662087</c:v>
                </c:pt>
                <c:pt idx="3">
                  <c:v>31.553024000000001</c:v>
                </c:pt>
                <c:pt idx="5">
                  <c:v>17.649635</c:v>
                </c:pt>
                <c:pt idx="6">
                  <c:v>21.26925</c:v>
                </c:pt>
                <c:pt idx="7">
                  <c:v>19.931394999999998</c:v>
                </c:pt>
                <c:pt idx="8">
                  <c:v>18.804404000000002</c:v>
                </c:pt>
                <c:pt idx="9">
                  <c:v>20.367508999999998</c:v>
                </c:pt>
                <c:pt idx="10">
                  <c:v>17.099035000000001</c:v>
                </c:pt>
                <c:pt idx="11">
                  <c:v>17.419694</c:v>
                </c:pt>
                <c:pt idx="12">
                  <c:v>13.226452999999999</c:v>
                </c:pt>
                <c:pt idx="13">
                  <c:v>10.811826</c:v>
                </c:pt>
                <c:pt idx="15">
                  <c:v>10.714715999999999</c:v>
                </c:pt>
                <c:pt idx="16">
                  <c:v>9.7364049999999995</c:v>
                </c:pt>
                <c:pt idx="17">
                  <c:v>7.5654849999999998</c:v>
                </c:pt>
              </c:numCache>
            </c:numRef>
          </c:val>
          <c:extLst>
            <c:ext xmlns:c16="http://schemas.microsoft.com/office/drawing/2014/chart" uri="{C3380CC4-5D6E-409C-BE32-E72D297353CC}">
              <c16:uniqueId val="{00000003-C74E-4238-863F-01E4A97A4A56}"/>
            </c:ext>
          </c:extLst>
        </c:ser>
        <c:ser>
          <c:idx val="4"/>
          <c:order val="4"/>
          <c:tx>
            <c:strRef>
              <c:f>'Graphique 6'!$G$3</c:f>
              <c:strCache>
                <c:ptCount val="1"/>
                <c:pt idx="0">
                  <c:v>Ouvriers</c:v>
                </c:pt>
              </c:strCache>
            </c:strRef>
          </c:tx>
          <c:invertIfNegative val="0"/>
          <c:dLbls>
            <c:numFmt formatCode="#,##0" sourceLinked="0"/>
            <c:spPr>
              <a:noFill/>
              <a:ln>
                <a:noFill/>
              </a:ln>
              <a:effectLst/>
            </c:spPr>
            <c:txPr>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'Graphique 6'!$B$4:$B$21</c:f>
              <c:strCache>
                <c:ptCount val="18"/>
                <c:pt idx="0">
                  <c:v>Ensemble</c:v>
                </c:pt>
                <c:pt idx="2">
                  <c:v>STS et assimilés (scolaires)</c:v>
                </c:pt>
                <c:pt idx="3">
                  <c:v>Ecoles paramédicales et sociales****</c:v>
                </c:pt>
                <c:pt idx="5">
                  <c:v>Ensemble univ.</c:v>
                </c:pt>
                <c:pt idx="6">
                  <c:v>STAPS </c:v>
                </c:pt>
                <c:pt idx="7">
                  <c:v>Arts, lettres, langues, SHS</c:v>
                </c:pt>
                <c:pt idx="8">
                  <c:v>Économie, AES</c:v>
                </c:pt>
                <c:pt idx="9">
                  <c:v>IUT</c:v>
                </c:pt>
                <c:pt idx="10">
                  <c:v>Sciences</c:v>
                </c:pt>
                <c:pt idx="11">
                  <c:v>Droit, sciences politiques</c:v>
                </c:pt>
                <c:pt idx="12">
                  <c:v>Form. d’ingénieurs ***</c:v>
                </c:pt>
                <c:pt idx="13">
                  <c:v>Santé</c:v>
                </c:pt>
                <c:pt idx="15">
                  <c:v>CPGE et prépas intégrées</c:v>
                </c:pt>
                <c:pt idx="16">
                  <c:v>Form. d'ingénieurs hors université***</c:v>
                </c:pt>
                <c:pt idx="17">
                  <c:v>Ecoles normales supérieures</c:v>
                </c:pt>
              </c:strCache>
            </c:strRef>
          </c:cat>
          <c:val>
            <c:numRef>
              <c:f>'Graphique 6'!$G$4:$G$21</c:f>
              <c:numCache>
                <c:formatCode>0.0</c:formatCode>
                <c:ptCount val="18"/>
                <c:pt idx="0">
                  <c:v>11.547071000000001</c:v>
                </c:pt>
                <c:pt idx="2">
                  <c:v>22.037068000000001</c:v>
                </c:pt>
                <c:pt idx="3">
                  <c:v>18.750191999999998</c:v>
                </c:pt>
                <c:pt idx="5">
                  <c:v>9.9635599999999993</c:v>
                </c:pt>
                <c:pt idx="6">
                  <c:v>11.114155999999999</c:v>
                </c:pt>
                <c:pt idx="7">
                  <c:v>10.895064</c:v>
                </c:pt>
                <c:pt idx="8">
                  <c:v>12.466544000000001</c:v>
                </c:pt>
                <c:pt idx="9">
                  <c:v>12.018211000000001</c:v>
                </c:pt>
                <c:pt idx="10">
                  <c:v>10.466219000000001</c:v>
                </c:pt>
                <c:pt idx="11">
                  <c:v>8.5730649999999997</c:v>
                </c:pt>
                <c:pt idx="12">
                  <c:v>7.7606190000000002</c:v>
                </c:pt>
                <c:pt idx="13">
                  <c:v>5.8744690000000004</c:v>
                </c:pt>
                <c:pt idx="15">
                  <c:v>6.482437</c:v>
                </c:pt>
                <c:pt idx="16">
                  <c:v>4.6646510000000001</c:v>
                </c:pt>
                <c:pt idx="17">
                  <c:v>1.9568570000000001</c:v>
                </c:pt>
              </c:numCache>
            </c:numRef>
          </c:val>
          <c:extLst>
            <c:ext xmlns:c16="http://schemas.microsoft.com/office/drawing/2014/chart" uri="{C3380CC4-5D6E-409C-BE32-E72D297353CC}">
              <c16:uniqueId val="{00000004-C74E-4238-863F-01E4A97A4A56}"/>
            </c:ext>
          </c:extLst>
        </c:ser>
        <c:ser>
          <c:idx val="5"/>
          <c:order val="5"/>
          <c:tx>
            <c:strRef>
              <c:f>'Graphique 6'!$H$3</c:f>
              <c:strCache>
                <c:ptCount val="1"/>
                <c:pt idx="0">
                  <c:v>Retraités et inactifs</c:v>
                </c:pt>
              </c:strCache>
            </c:strRef>
          </c:tx>
          <c:invertIfNegative val="0"/>
          <c:dLbls>
            <c:numFmt formatCode="#,##0" sourceLinked="0"/>
            <c:spPr>
              <a:noFill/>
              <a:ln>
                <a:noFill/>
              </a:ln>
              <a:effectLst/>
            </c:spPr>
            <c:txPr>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'Graphique 6'!$B$4:$B$21</c:f>
              <c:strCache>
                <c:ptCount val="18"/>
                <c:pt idx="0">
                  <c:v>Ensemble</c:v>
                </c:pt>
                <c:pt idx="2">
                  <c:v>STS et assimilés (scolaires)</c:v>
                </c:pt>
                <c:pt idx="3">
                  <c:v>Ecoles paramédicales et sociales****</c:v>
                </c:pt>
                <c:pt idx="5">
                  <c:v>Ensemble univ.</c:v>
                </c:pt>
                <c:pt idx="6">
                  <c:v>STAPS </c:v>
                </c:pt>
                <c:pt idx="7">
                  <c:v>Arts, lettres, langues, SHS</c:v>
                </c:pt>
                <c:pt idx="8">
                  <c:v>Économie, AES</c:v>
                </c:pt>
                <c:pt idx="9">
                  <c:v>IUT</c:v>
                </c:pt>
                <c:pt idx="10">
                  <c:v>Sciences</c:v>
                </c:pt>
                <c:pt idx="11">
                  <c:v>Droit, sciences politiques</c:v>
                </c:pt>
                <c:pt idx="12">
                  <c:v>Form. d’ingénieurs ***</c:v>
                </c:pt>
                <c:pt idx="13">
                  <c:v>Santé</c:v>
                </c:pt>
                <c:pt idx="15">
                  <c:v>CPGE et prépas intégrées</c:v>
                </c:pt>
                <c:pt idx="16">
                  <c:v>Form. d'ingénieurs hors université***</c:v>
                </c:pt>
                <c:pt idx="17">
                  <c:v>Ecoles normales supérieures</c:v>
                </c:pt>
              </c:strCache>
            </c:strRef>
          </c:cat>
          <c:val>
            <c:numRef>
              <c:f>'Graphique 6'!$H$4:$H$21</c:f>
              <c:numCache>
                <c:formatCode>0.0</c:formatCode>
                <c:ptCount val="18"/>
                <c:pt idx="0">
                  <c:v>12.930387</c:v>
                </c:pt>
                <c:pt idx="2">
                  <c:v>16.586411999999999</c:v>
                </c:pt>
                <c:pt idx="3">
                  <c:v>1.9270430000000001</c:v>
                </c:pt>
                <c:pt idx="5">
                  <c:v>14.502907</c:v>
                </c:pt>
                <c:pt idx="6">
                  <c:v>8.6717449999999996</c:v>
                </c:pt>
                <c:pt idx="7">
                  <c:v>18.198861999999998</c:v>
                </c:pt>
                <c:pt idx="8">
                  <c:v>16.004414000000001</c:v>
                </c:pt>
                <c:pt idx="9">
                  <c:v>8.6552129999999998</c:v>
                </c:pt>
                <c:pt idx="10">
                  <c:v>13.618118000000001</c:v>
                </c:pt>
                <c:pt idx="11">
                  <c:v>13.340505</c:v>
                </c:pt>
                <c:pt idx="12">
                  <c:v>8.8805060000000005</c:v>
                </c:pt>
                <c:pt idx="13">
                  <c:v>13.396032</c:v>
                </c:pt>
                <c:pt idx="15">
                  <c:v>6.0522400000000003</c:v>
                </c:pt>
                <c:pt idx="16">
                  <c:v>6.4531790000000004</c:v>
                </c:pt>
                <c:pt idx="17">
                  <c:v>9.8150999999999993</c:v>
                </c:pt>
              </c:numCache>
            </c:numRef>
          </c:val>
          <c:extLst>
            <c:ext xmlns:c16="http://schemas.microsoft.com/office/drawing/2014/chart" uri="{C3380CC4-5D6E-409C-BE32-E72D297353CC}">
              <c16:uniqueId val="{00000005-C74E-4238-863F-01E4A97A4A56}"/>
            </c:ext>
          </c:extLst>
        </c:ser>
        <c:dLbls>
          <c:showLegendKey val="0"/>
          <c:showVal val="0"/>
          <c:showCatName val="0"/>
          <c:showSerName val="0"/>
          <c:showPercent val="0"/>
          <c:showBubbleSize val="0"/>
        </c:dLbls>
        <c:gapWidth val="18"/>
        <c:overlap val="100"/>
        <c:axId val="171126784"/>
        <c:axId val="171128320"/>
      </c:barChart>
      <c:catAx>
        <c:axId val="171126784"/>
        <c:scaling>
          <c:orientation val="maxMin"/>
        </c:scaling>
        <c:delete val="0"/>
        <c:axPos val="l"/>
        <c:numFmt formatCode="General" sourceLinked="1"/>
        <c:majorTickMark val="none"/>
        <c:minorTickMark val="none"/>
        <c:tickLblPos val="nextTo"/>
        <c:txPr>
          <a:bodyPr rot="0" vert="horz"/>
          <a:lstStyle/>
          <a:p>
            <a:pPr>
              <a:defRPr sz="1050" b="0" i="0" u="none" strike="noStrike" baseline="0">
                <a:solidFill>
                  <a:srgbClr val="000000"/>
                </a:solidFill>
                <a:latin typeface="Calibri"/>
                <a:ea typeface="Calibri"/>
                <a:cs typeface="Calibri"/>
              </a:defRPr>
            </a:pPr>
            <a:endParaRPr lang="fr-FR"/>
          </a:p>
        </c:txPr>
        <c:crossAx val="171128320"/>
        <c:crossesAt val="0"/>
        <c:auto val="1"/>
        <c:lblAlgn val="ctr"/>
        <c:lblOffset val="100"/>
        <c:noMultiLvlLbl val="1"/>
      </c:catAx>
      <c:valAx>
        <c:axId val="171128320"/>
        <c:scaling>
          <c:orientation val="minMax"/>
          <c:max val="100"/>
        </c:scaling>
        <c:delete val="0"/>
        <c:axPos val="t"/>
        <c:majorGridlines/>
        <c:numFmt formatCode="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71126784"/>
        <c:crosses val="autoZero"/>
        <c:crossBetween val="between"/>
        <c:majorUnit val="20"/>
      </c:valAx>
    </c:plotArea>
    <c:legend>
      <c:legendPos val="r"/>
      <c:layout>
        <c:manualLayout>
          <c:xMode val="edge"/>
          <c:yMode val="edge"/>
          <c:x val="4.7926306116957813E-2"/>
          <c:y val="0.89649748399284479"/>
          <c:w val="0.72258060585753658"/>
          <c:h val="9.5541401273885329E-2"/>
        </c:manualLayout>
      </c:layout>
      <c:overlay val="0"/>
      <c:txPr>
        <a:bodyPr/>
        <a:lstStyle/>
        <a:p>
          <a:pPr>
            <a:defRPr sz="1000" b="0" i="0" u="none" strike="noStrike" baseline="0">
              <a:solidFill>
                <a:srgbClr val="000000"/>
              </a:solidFill>
              <a:latin typeface="Calibri"/>
              <a:ea typeface="Calibri"/>
              <a:cs typeface="Calibri"/>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1786784568709092"/>
          <c:y val="0.10847626184573743"/>
          <c:w val="0.65363275915462216"/>
          <c:h val="0.77890756455771093"/>
        </c:manualLayout>
      </c:layout>
      <c:barChart>
        <c:barDir val="bar"/>
        <c:grouping val="stacked"/>
        <c:varyColors val="0"/>
        <c:ser>
          <c:idx val="0"/>
          <c:order val="0"/>
          <c:tx>
            <c:strRef>
              <c:f>'Graphique 6'!$C$3</c:f>
              <c:strCache>
                <c:ptCount val="1"/>
                <c:pt idx="0">
                  <c:v>Agriculteurs, artisans, commerçants et chefs d'entreprise</c:v>
                </c:pt>
              </c:strCache>
            </c:strRef>
          </c:tx>
          <c:invertIfNegative val="0"/>
          <c:dLbls>
            <c:numFmt formatCode="#,##0" sourceLinked="0"/>
            <c:spPr>
              <a:noFill/>
              <a:ln>
                <a:noFill/>
              </a:ln>
              <a:effectLst/>
            </c:spPr>
            <c:txPr>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'Graphique 6'!$B$4:$B$21</c:f>
              <c:strCache>
                <c:ptCount val="18"/>
                <c:pt idx="0">
                  <c:v>Ensemble</c:v>
                </c:pt>
                <c:pt idx="2">
                  <c:v>STS et assimilés (scolaires)</c:v>
                </c:pt>
                <c:pt idx="3">
                  <c:v>Ecoles paramédicales et sociales****</c:v>
                </c:pt>
                <c:pt idx="5">
                  <c:v>Ensemble univ.</c:v>
                </c:pt>
                <c:pt idx="6">
                  <c:v>STAPS </c:v>
                </c:pt>
                <c:pt idx="7">
                  <c:v>Arts, lettres, langues, SHS</c:v>
                </c:pt>
                <c:pt idx="8">
                  <c:v>Économie, AES</c:v>
                </c:pt>
                <c:pt idx="9">
                  <c:v>IUT</c:v>
                </c:pt>
                <c:pt idx="10">
                  <c:v>Sciences</c:v>
                </c:pt>
                <c:pt idx="11">
                  <c:v>Droit, sciences politiques</c:v>
                </c:pt>
                <c:pt idx="12">
                  <c:v>Form. d’ingénieurs ***</c:v>
                </c:pt>
                <c:pt idx="13">
                  <c:v>Santé</c:v>
                </c:pt>
                <c:pt idx="15">
                  <c:v>CPGE et prépas intégrées</c:v>
                </c:pt>
                <c:pt idx="16">
                  <c:v>Form. d'ingénieurs hors université***</c:v>
                </c:pt>
                <c:pt idx="17">
                  <c:v>Ecoles normales supérieures</c:v>
                </c:pt>
              </c:strCache>
            </c:strRef>
          </c:cat>
          <c:val>
            <c:numRef>
              <c:f>'Graphique 6'!$C$4:$C$21</c:f>
              <c:numCache>
                <c:formatCode>0.0</c:formatCode>
                <c:ptCount val="18"/>
                <c:pt idx="0">
                  <c:v>10.168293</c:v>
                </c:pt>
                <c:pt idx="2">
                  <c:v>11.436579</c:v>
                </c:pt>
                <c:pt idx="3">
                  <c:v>15.137756</c:v>
                </c:pt>
                <c:pt idx="5">
                  <c:v>8.6611919999999998</c:v>
                </c:pt>
                <c:pt idx="6">
                  <c:v>8.2990809999999993</c:v>
                </c:pt>
                <c:pt idx="7">
                  <c:v>7.5032259999999997</c:v>
                </c:pt>
                <c:pt idx="8">
                  <c:v>10.248787</c:v>
                </c:pt>
                <c:pt idx="9">
                  <c:v>9.5595660000000002</c:v>
                </c:pt>
                <c:pt idx="10">
                  <c:v>8.6453779999999991</c:v>
                </c:pt>
                <c:pt idx="11">
                  <c:v>9.8362079999999992</c:v>
                </c:pt>
                <c:pt idx="12">
                  <c:v>8.401116</c:v>
                </c:pt>
                <c:pt idx="13">
                  <c:v>8.6173830000000002</c:v>
                </c:pt>
                <c:pt idx="15">
                  <c:v>10.147822</c:v>
                </c:pt>
                <c:pt idx="16">
                  <c:v>11.170634</c:v>
                </c:pt>
                <c:pt idx="17">
                  <c:v>6.7334360000000002</c:v>
                </c:pt>
              </c:numCache>
            </c:numRef>
          </c:val>
          <c:extLst>
            <c:ext xmlns:c16="http://schemas.microsoft.com/office/drawing/2014/chart" uri="{C3380CC4-5D6E-409C-BE32-E72D297353CC}">
              <c16:uniqueId val="{00000000-ECD4-47FB-A479-8DD0247125DE}"/>
            </c:ext>
          </c:extLst>
        </c:ser>
        <c:ser>
          <c:idx val="1"/>
          <c:order val="1"/>
          <c:tx>
            <c:strRef>
              <c:f>'Graphique 6'!$D$3</c:f>
              <c:strCache>
                <c:ptCount val="1"/>
                <c:pt idx="0">
                  <c:v>Cadres et professions intellectuelles supérieures</c:v>
                </c:pt>
              </c:strCache>
            </c:strRef>
          </c:tx>
          <c:invertIfNegative val="0"/>
          <c:dLbls>
            <c:numFmt formatCode="#,##0" sourceLinked="0"/>
            <c:spPr>
              <a:noFill/>
              <a:ln>
                <a:noFill/>
              </a:ln>
              <a:effectLst/>
            </c:spPr>
            <c:txPr>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'Graphique 6'!$B$4:$B$21</c:f>
              <c:strCache>
                <c:ptCount val="18"/>
                <c:pt idx="0">
                  <c:v>Ensemble</c:v>
                </c:pt>
                <c:pt idx="2">
                  <c:v>STS et assimilés (scolaires)</c:v>
                </c:pt>
                <c:pt idx="3">
                  <c:v>Ecoles paramédicales et sociales****</c:v>
                </c:pt>
                <c:pt idx="5">
                  <c:v>Ensemble univ.</c:v>
                </c:pt>
                <c:pt idx="6">
                  <c:v>STAPS </c:v>
                </c:pt>
                <c:pt idx="7">
                  <c:v>Arts, lettres, langues, SHS</c:v>
                </c:pt>
                <c:pt idx="8">
                  <c:v>Économie, AES</c:v>
                </c:pt>
                <c:pt idx="9">
                  <c:v>IUT</c:v>
                </c:pt>
                <c:pt idx="10">
                  <c:v>Sciences</c:v>
                </c:pt>
                <c:pt idx="11">
                  <c:v>Droit, sciences politiques</c:v>
                </c:pt>
                <c:pt idx="12">
                  <c:v>Form. d’ingénieurs ***</c:v>
                </c:pt>
                <c:pt idx="13">
                  <c:v>Santé</c:v>
                </c:pt>
                <c:pt idx="15">
                  <c:v>CPGE et prépas intégrées</c:v>
                </c:pt>
                <c:pt idx="16">
                  <c:v>Form. d'ingénieurs hors université***</c:v>
                </c:pt>
                <c:pt idx="17">
                  <c:v>Ecoles normales supérieures</c:v>
                </c:pt>
              </c:strCache>
            </c:strRef>
          </c:cat>
          <c:val>
            <c:numRef>
              <c:f>'Graphique 6'!$D$4:$D$21</c:f>
              <c:numCache>
                <c:formatCode>0.0</c:formatCode>
                <c:ptCount val="18"/>
                <c:pt idx="0">
                  <c:v>34.447141999999999</c:v>
                </c:pt>
                <c:pt idx="2">
                  <c:v>15.718711000000001</c:v>
                </c:pt>
                <c:pt idx="3">
                  <c:v>23.356164</c:v>
                </c:pt>
                <c:pt idx="5">
                  <c:v>33.754316000000003</c:v>
                </c:pt>
                <c:pt idx="6">
                  <c:v>31.104655999999999</c:v>
                </c:pt>
                <c:pt idx="7">
                  <c:v>27.317509000000001</c:v>
                </c:pt>
                <c:pt idx="8">
                  <c:v>28.874486000000001</c:v>
                </c:pt>
                <c:pt idx="9">
                  <c:v>30.623365</c:v>
                </c:pt>
                <c:pt idx="10">
                  <c:v>34.138157999999997</c:v>
                </c:pt>
                <c:pt idx="11">
                  <c:v>37.043528000000002</c:v>
                </c:pt>
                <c:pt idx="12">
                  <c:v>45.384886999999999</c:v>
                </c:pt>
                <c:pt idx="13">
                  <c:v>48.217190000000002</c:v>
                </c:pt>
                <c:pt idx="15">
                  <c:v>54.042644000000003</c:v>
                </c:pt>
                <c:pt idx="16">
                  <c:v>56.107823000000003</c:v>
                </c:pt>
                <c:pt idx="17">
                  <c:v>63.436055000000003</c:v>
                </c:pt>
              </c:numCache>
            </c:numRef>
          </c:val>
          <c:extLst>
            <c:ext xmlns:c16="http://schemas.microsoft.com/office/drawing/2014/chart" uri="{C3380CC4-5D6E-409C-BE32-E72D297353CC}">
              <c16:uniqueId val="{00000001-ECD4-47FB-A479-8DD0247125DE}"/>
            </c:ext>
          </c:extLst>
        </c:ser>
        <c:ser>
          <c:idx val="2"/>
          <c:order val="2"/>
          <c:tx>
            <c:strRef>
              <c:f>'Graphique 6'!$E$3</c:f>
              <c:strCache>
                <c:ptCount val="1"/>
                <c:pt idx="0">
                  <c:v>Professions Intermédiaires</c:v>
                </c:pt>
              </c:strCache>
            </c:strRef>
          </c:tx>
          <c:invertIfNegative val="0"/>
          <c:dLbls>
            <c:numFmt formatCode="#,##0" sourceLinked="0"/>
            <c:spPr>
              <a:noFill/>
              <a:ln>
                <a:noFill/>
              </a:ln>
              <a:effectLst/>
            </c:spPr>
            <c:txPr>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'Graphique 6'!$B$4:$B$21</c:f>
              <c:strCache>
                <c:ptCount val="18"/>
                <c:pt idx="0">
                  <c:v>Ensemble</c:v>
                </c:pt>
                <c:pt idx="2">
                  <c:v>STS et assimilés (scolaires)</c:v>
                </c:pt>
                <c:pt idx="3">
                  <c:v>Ecoles paramédicales et sociales****</c:v>
                </c:pt>
                <c:pt idx="5">
                  <c:v>Ensemble univ.</c:v>
                </c:pt>
                <c:pt idx="6">
                  <c:v>STAPS </c:v>
                </c:pt>
                <c:pt idx="7">
                  <c:v>Arts, lettres, langues, SHS</c:v>
                </c:pt>
                <c:pt idx="8">
                  <c:v>Économie, AES</c:v>
                </c:pt>
                <c:pt idx="9">
                  <c:v>IUT</c:v>
                </c:pt>
                <c:pt idx="10">
                  <c:v>Sciences</c:v>
                </c:pt>
                <c:pt idx="11">
                  <c:v>Droit, sciences politiques</c:v>
                </c:pt>
                <c:pt idx="12">
                  <c:v>Form. d’ingénieurs ***</c:v>
                </c:pt>
                <c:pt idx="13">
                  <c:v>Santé</c:v>
                </c:pt>
                <c:pt idx="15">
                  <c:v>CPGE et prépas intégrées</c:v>
                </c:pt>
                <c:pt idx="16">
                  <c:v>Form. d'ingénieurs hors université***</c:v>
                </c:pt>
                <c:pt idx="17">
                  <c:v>Ecoles normales supérieures</c:v>
                </c:pt>
              </c:strCache>
            </c:strRef>
          </c:cat>
          <c:val>
            <c:numRef>
              <c:f>'Graphique 6'!$E$4:$E$21</c:f>
              <c:numCache>
                <c:formatCode>0.0</c:formatCode>
                <c:ptCount val="18"/>
                <c:pt idx="0">
                  <c:v>13.848564</c:v>
                </c:pt>
                <c:pt idx="2">
                  <c:v>14.559143000000001</c:v>
                </c:pt>
                <c:pt idx="3">
                  <c:v>9.2758199999999995</c:v>
                </c:pt>
                <c:pt idx="5">
                  <c:v>15.468391</c:v>
                </c:pt>
                <c:pt idx="6">
                  <c:v>19.541111999999998</c:v>
                </c:pt>
                <c:pt idx="7">
                  <c:v>16.153943999999999</c:v>
                </c:pt>
                <c:pt idx="8">
                  <c:v>13.601364</c:v>
                </c:pt>
                <c:pt idx="9">
                  <c:v>18.776136999999999</c:v>
                </c:pt>
                <c:pt idx="10">
                  <c:v>16.033092</c:v>
                </c:pt>
                <c:pt idx="11">
                  <c:v>13.787001</c:v>
                </c:pt>
                <c:pt idx="12">
                  <c:v>16.346418</c:v>
                </c:pt>
                <c:pt idx="13">
                  <c:v>13.083100999999999</c:v>
                </c:pt>
                <c:pt idx="15">
                  <c:v>12.560140000000001</c:v>
                </c:pt>
                <c:pt idx="16">
                  <c:v>11.867308</c:v>
                </c:pt>
                <c:pt idx="17">
                  <c:v>10.493066000000001</c:v>
                </c:pt>
              </c:numCache>
            </c:numRef>
          </c:val>
          <c:extLst>
            <c:ext xmlns:c16="http://schemas.microsoft.com/office/drawing/2014/chart" uri="{C3380CC4-5D6E-409C-BE32-E72D297353CC}">
              <c16:uniqueId val="{00000002-ECD4-47FB-A479-8DD0247125DE}"/>
            </c:ext>
          </c:extLst>
        </c:ser>
        <c:ser>
          <c:idx val="3"/>
          <c:order val="3"/>
          <c:tx>
            <c:strRef>
              <c:f>'Graphique 6'!$F$3</c:f>
              <c:strCache>
                <c:ptCount val="1"/>
                <c:pt idx="0">
                  <c:v>Employés</c:v>
                </c:pt>
              </c:strCache>
            </c:strRef>
          </c:tx>
          <c:invertIfNegative val="0"/>
          <c:dLbls>
            <c:numFmt formatCode="#,##0" sourceLinked="0"/>
            <c:spPr>
              <a:noFill/>
              <a:ln>
                <a:noFill/>
              </a:ln>
              <a:effectLst/>
            </c:spPr>
            <c:txPr>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'Graphique 6'!$B$4:$B$21</c:f>
              <c:strCache>
                <c:ptCount val="18"/>
                <c:pt idx="0">
                  <c:v>Ensemble</c:v>
                </c:pt>
                <c:pt idx="2">
                  <c:v>STS et assimilés (scolaires)</c:v>
                </c:pt>
                <c:pt idx="3">
                  <c:v>Ecoles paramédicales et sociales****</c:v>
                </c:pt>
                <c:pt idx="5">
                  <c:v>Ensemble univ.</c:v>
                </c:pt>
                <c:pt idx="6">
                  <c:v>STAPS </c:v>
                </c:pt>
                <c:pt idx="7">
                  <c:v>Arts, lettres, langues, SHS</c:v>
                </c:pt>
                <c:pt idx="8">
                  <c:v>Économie, AES</c:v>
                </c:pt>
                <c:pt idx="9">
                  <c:v>IUT</c:v>
                </c:pt>
                <c:pt idx="10">
                  <c:v>Sciences</c:v>
                </c:pt>
                <c:pt idx="11">
                  <c:v>Droit, sciences politiques</c:v>
                </c:pt>
                <c:pt idx="12">
                  <c:v>Form. d’ingénieurs ***</c:v>
                </c:pt>
                <c:pt idx="13">
                  <c:v>Santé</c:v>
                </c:pt>
                <c:pt idx="15">
                  <c:v>CPGE et prépas intégrées</c:v>
                </c:pt>
                <c:pt idx="16">
                  <c:v>Form. d'ingénieurs hors université***</c:v>
                </c:pt>
                <c:pt idx="17">
                  <c:v>Ecoles normales supérieures</c:v>
                </c:pt>
              </c:strCache>
            </c:strRef>
          </c:cat>
          <c:val>
            <c:numRef>
              <c:f>'Graphique 6'!$F$4:$F$21</c:f>
              <c:numCache>
                <c:formatCode>0.0</c:formatCode>
                <c:ptCount val="18"/>
                <c:pt idx="0">
                  <c:v>17.058544000000001</c:v>
                </c:pt>
                <c:pt idx="2">
                  <c:v>19.662087</c:v>
                </c:pt>
                <c:pt idx="3">
                  <c:v>31.553024000000001</c:v>
                </c:pt>
                <c:pt idx="5">
                  <c:v>17.649635</c:v>
                </c:pt>
                <c:pt idx="6">
                  <c:v>21.26925</c:v>
                </c:pt>
                <c:pt idx="7">
                  <c:v>19.931394999999998</c:v>
                </c:pt>
                <c:pt idx="8">
                  <c:v>18.804404000000002</c:v>
                </c:pt>
                <c:pt idx="9">
                  <c:v>20.367508999999998</c:v>
                </c:pt>
                <c:pt idx="10">
                  <c:v>17.099035000000001</c:v>
                </c:pt>
                <c:pt idx="11">
                  <c:v>17.419694</c:v>
                </c:pt>
                <c:pt idx="12">
                  <c:v>13.226452999999999</c:v>
                </c:pt>
                <c:pt idx="13">
                  <c:v>10.811826</c:v>
                </c:pt>
                <c:pt idx="15">
                  <c:v>10.714715999999999</c:v>
                </c:pt>
                <c:pt idx="16">
                  <c:v>9.7364049999999995</c:v>
                </c:pt>
                <c:pt idx="17">
                  <c:v>7.5654849999999998</c:v>
                </c:pt>
              </c:numCache>
            </c:numRef>
          </c:val>
          <c:extLst>
            <c:ext xmlns:c16="http://schemas.microsoft.com/office/drawing/2014/chart" uri="{C3380CC4-5D6E-409C-BE32-E72D297353CC}">
              <c16:uniqueId val="{00000003-ECD4-47FB-A479-8DD0247125DE}"/>
            </c:ext>
          </c:extLst>
        </c:ser>
        <c:ser>
          <c:idx val="4"/>
          <c:order val="4"/>
          <c:tx>
            <c:strRef>
              <c:f>'Graphique 6'!$G$3</c:f>
              <c:strCache>
                <c:ptCount val="1"/>
                <c:pt idx="0">
                  <c:v>Ouvriers</c:v>
                </c:pt>
              </c:strCache>
            </c:strRef>
          </c:tx>
          <c:invertIfNegative val="0"/>
          <c:dLbls>
            <c:numFmt formatCode="#,##0" sourceLinked="0"/>
            <c:spPr>
              <a:noFill/>
              <a:ln>
                <a:noFill/>
              </a:ln>
              <a:effectLst/>
            </c:spPr>
            <c:txPr>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'Graphique 6'!$B$4:$B$21</c:f>
              <c:strCache>
                <c:ptCount val="18"/>
                <c:pt idx="0">
                  <c:v>Ensemble</c:v>
                </c:pt>
                <c:pt idx="2">
                  <c:v>STS et assimilés (scolaires)</c:v>
                </c:pt>
                <c:pt idx="3">
                  <c:v>Ecoles paramédicales et sociales****</c:v>
                </c:pt>
                <c:pt idx="5">
                  <c:v>Ensemble univ.</c:v>
                </c:pt>
                <c:pt idx="6">
                  <c:v>STAPS </c:v>
                </c:pt>
                <c:pt idx="7">
                  <c:v>Arts, lettres, langues, SHS</c:v>
                </c:pt>
                <c:pt idx="8">
                  <c:v>Économie, AES</c:v>
                </c:pt>
                <c:pt idx="9">
                  <c:v>IUT</c:v>
                </c:pt>
                <c:pt idx="10">
                  <c:v>Sciences</c:v>
                </c:pt>
                <c:pt idx="11">
                  <c:v>Droit, sciences politiques</c:v>
                </c:pt>
                <c:pt idx="12">
                  <c:v>Form. d’ingénieurs ***</c:v>
                </c:pt>
                <c:pt idx="13">
                  <c:v>Santé</c:v>
                </c:pt>
                <c:pt idx="15">
                  <c:v>CPGE et prépas intégrées</c:v>
                </c:pt>
                <c:pt idx="16">
                  <c:v>Form. d'ingénieurs hors université***</c:v>
                </c:pt>
                <c:pt idx="17">
                  <c:v>Ecoles normales supérieures</c:v>
                </c:pt>
              </c:strCache>
            </c:strRef>
          </c:cat>
          <c:val>
            <c:numRef>
              <c:f>'Graphique 6'!$G$4:$G$21</c:f>
              <c:numCache>
                <c:formatCode>0.0</c:formatCode>
                <c:ptCount val="18"/>
                <c:pt idx="0">
                  <c:v>11.547071000000001</c:v>
                </c:pt>
                <c:pt idx="2">
                  <c:v>22.037068000000001</c:v>
                </c:pt>
                <c:pt idx="3">
                  <c:v>18.750191999999998</c:v>
                </c:pt>
                <c:pt idx="5">
                  <c:v>9.9635599999999993</c:v>
                </c:pt>
                <c:pt idx="6">
                  <c:v>11.114155999999999</c:v>
                </c:pt>
                <c:pt idx="7">
                  <c:v>10.895064</c:v>
                </c:pt>
                <c:pt idx="8">
                  <c:v>12.466544000000001</c:v>
                </c:pt>
                <c:pt idx="9">
                  <c:v>12.018211000000001</c:v>
                </c:pt>
                <c:pt idx="10">
                  <c:v>10.466219000000001</c:v>
                </c:pt>
                <c:pt idx="11">
                  <c:v>8.5730649999999997</c:v>
                </c:pt>
                <c:pt idx="12">
                  <c:v>7.7606190000000002</c:v>
                </c:pt>
                <c:pt idx="13">
                  <c:v>5.8744690000000004</c:v>
                </c:pt>
                <c:pt idx="15">
                  <c:v>6.482437</c:v>
                </c:pt>
                <c:pt idx="16">
                  <c:v>4.6646510000000001</c:v>
                </c:pt>
                <c:pt idx="17">
                  <c:v>1.9568570000000001</c:v>
                </c:pt>
              </c:numCache>
            </c:numRef>
          </c:val>
          <c:extLst>
            <c:ext xmlns:c16="http://schemas.microsoft.com/office/drawing/2014/chart" uri="{C3380CC4-5D6E-409C-BE32-E72D297353CC}">
              <c16:uniqueId val="{00000004-ECD4-47FB-A479-8DD0247125DE}"/>
            </c:ext>
          </c:extLst>
        </c:ser>
        <c:ser>
          <c:idx val="5"/>
          <c:order val="5"/>
          <c:tx>
            <c:strRef>
              <c:f>'Graphique 6'!$H$3</c:f>
              <c:strCache>
                <c:ptCount val="1"/>
                <c:pt idx="0">
                  <c:v>Retraités et inactifs</c:v>
                </c:pt>
              </c:strCache>
            </c:strRef>
          </c:tx>
          <c:invertIfNegative val="0"/>
          <c:dLbls>
            <c:numFmt formatCode="#,##0" sourceLinked="0"/>
            <c:spPr>
              <a:noFill/>
              <a:ln>
                <a:noFill/>
              </a:ln>
              <a:effectLst/>
            </c:spPr>
            <c:txPr>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'Graphique 6'!$B$4:$B$21</c:f>
              <c:strCache>
                <c:ptCount val="18"/>
                <c:pt idx="0">
                  <c:v>Ensemble</c:v>
                </c:pt>
                <c:pt idx="2">
                  <c:v>STS et assimilés (scolaires)</c:v>
                </c:pt>
                <c:pt idx="3">
                  <c:v>Ecoles paramédicales et sociales****</c:v>
                </c:pt>
                <c:pt idx="5">
                  <c:v>Ensemble univ.</c:v>
                </c:pt>
                <c:pt idx="6">
                  <c:v>STAPS </c:v>
                </c:pt>
                <c:pt idx="7">
                  <c:v>Arts, lettres, langues, SHS</c:v>
                </c:pt>
                <c:pt idx="8">
                  <c:v>Économie, AES</c:v>
                </c:pt>
                <c:pt idx="9">
                  <c:v>IUT</c:v>
                </c:pt>
                <c:pt idx="10">
                  <c:v>Sciences</c:v>
                </c:pt>
                <c:pt idx="11">
                  <c:v>Droit, sciences politiques</c:v>
                </c:pt>
                <c:pt idx="12">
                  <c:v>Form. d’ingénieurs ***</c:v>
                </c:pt>
                <c:pt idx="13">
                  <c:v>Santé</c:v>
                </c:pt>
                <c:pt idx="15">
                  <c:v>CPGE et prépas intégrées</c:v>
                </c:pt>
                <c:pt idx="16">
                  <c:v>Form. d'ingénieurs hors université***</c:v>
                </c:pt>
                <c:pt idx="17">
                  <c:v>Ecoles normales supérieures</c:v>
                </c:pt>
              </c:strCache>
            </c:strRef>
          </c:cat>
          <c:val>
            <c:numRef>
              <c:f>'Graphique 6'!$H$4:$H$21</c:f>
              <c:numCache>
                <c:formatCode>0.0</c:formatCode>
                <c:ptCount val="18"/>
                <c:pt idx="0">
                  <c:v>12.930387</c:v>
                </c:pt>
                <c:pt idx="2">
                  <c:v>16.586411999999999</c:v>
                </c:pt>
                <c:pt idx="3">
                  <c:v>1.9270430000000001</c:v>
                </c:pt>
                <c:pt idx="5">
                  <c:v>14.502907</c:v>
                </c:pt>
                <c:pt idx="6">
                  <c:v>8.6717449999999996</c:v>
                </c:pt>
                <c:pt idx="7">
                  <c:v>18.198861999999998</c:v>
                </c:pt>
                <c:pt idx="8">
                  <c:v>16.004414000000001</c:v>
                </c:pt>
                <c:pt idx="9">
                  <c:v>8.6552129999999998</c:v>
                </c:pt>
                <c:pt idx="10">
                  <c:v>13.618118000000001</c:v>
                </c:pt>
                <c:pt idx="11">
                  <c:v>13.340505</c:v>
                </c:pt>
                <c:pt idx="12">
                  <c:v>8.8805060000000005</c:v>
                </c:pt>
                <c:pt idx="13">
                  <c:v>13.396032</c:v>
                </c:pt>
                <c:pt idx="15">
                  <c:v>6.0522400000000003</c:v>
                </c:pt>
                <c:pt idx="16">
                  <c:v>6.4531790000000004</c:v>
                </c:pt>
                <c:pt idx="17">
                  <c:v>9.8150999999999993</c:v>
                </c:pt>
              </c:numCache>
            </c:numRef>
          </c:val>
          <c:extLst>
            <c:ext xmlns:c16="http://schemas.microsoft.com/office/drawing/2014/chart" uri="{C3380CC4-5D6E-409C-BE32-E72D297353CC}">
              <c16:uniqueId val="{00000005-ECD4-47FB-A479-8DD0247125DE}"/>
            </c:ext>
          </c:extLst>
        </c:ser>
        <c:dLbls>
          <c:showLegendKey val="0"/>
          <c:showVal val="0"/>
          <c:showCatName val="0"/>
          <c:showSerName val="0"/>
          <c:showPercent val="0"/>
          <c:showBubbleSize val="0"/>
        </c:dLbls>
        <c:gapWidth val="18"/>
        <c:overlap val="100"/>
        <c:axId val="171126784"/>
        <c:axId val="171128320"/>
      </c:barChart>
      <c:catAx>
        <c:axId val="171126784"/>
        <c:scaling>
          <c:orientation val="maxMin"/>
        </c:scaling>
        <c:delete val="0"/>
        <c:axPos val="l"/>
        <c:numFmt formatCode="General" sourceLinked="1"/>
        <c:majorTickMark val="none"/>
        <c:minorTickMark val="none"/>
        <c:tickLblPos val="nextTo"/>
        <c:txPr>
          <a:bodyPr rot="0" vert="horz"/>
          <a:lstStyle/>
          <a:p>
            <a:pPr>
              <a:defRPr sz="1050" b="0" i="0" u="none" strike="noStrike" baseline="0">
                <a:solidFill>
                  <a:srgbClr val="000000"/>
                </a:solidFill>
                <a:latin typeface="Calibri"/>
                <a:ea typeface="Calibri"/>
                <a:cs typeface="Calibri"/>
              </a:defRPr>
            </a:pPr>
            <a:endParaRPr lang="fr-FR"/>
          </a:p>
        </c:txPr>
        <c:crossAx val="171128320"/>
        <c:crossesAt val="0"/>
        <c:auto val="1"/>
        <c:lblAlgn val="ctr"/>
        <c:lblOffset val="100"/>
        <c:noMultiLvlLbl val="1"/>
      </c:catAx>
      <c:valAx>
        <c:axId val="171128320"/>
        <c:scaling>
          <c:orientation val="minMax"/>
          <c:max val="100"/>
        </c:scaling>
        <c:delete val="0"/>
        <c:axPos val="t"/>
        <c:majorGridlines/>
        <c:numFmt formatCode="#&quot;&quot;"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71126784"/>
        <c:crosses val="autoZero"/>
        <c:crossBetween val="between"/>
        <c:majorUnit val="20"/>
      </c:valAx>
    </c:plotArea>
    <c:legend>
      <c:legendPos val="r"/>
      <c:layout>
        <c:manualLayout>
          <c:xMode val="edge"/>
          <c:yMode val="edge"/>
          <c:x val="4.7926306116957813E-2"/>
          <c:y val="0.89649748399284479"/>
          <c:w val="0.72258060585753658"/>
          <c:h val="9.5541401273885329E-2"/>
        </c:manualLayout>
      </c:layout>
      <c:overlay val="0"/>
      <c:txPr>
        <a:bodyPr/>
        <a:lstStyle/>
        <a:p>
          <a:pPr>
            <a:defRPr sz="1000" b="0" i="0" u="none" strike="noStrike" baseline="0">
              <a:solidFill>
                <a:srgbClr val="000000"/>
              </a:solidFill>
              <a:latin typeface="Calibri"/>
              <a:ea typeface="Calibri"/>
              <a:cs typeface="Calibri"/>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073104553125071E-2"/>
          <c:y val="0.10612582518094328"/>
          <c:w val="0.89781085895504886"/>
          <c:h val="0.5830264853256979"/>
        </c:manualLayout>
      </c:layout>
      <c:lineChart>
        <c:grouping val="standard"/>
        <c:varyColors val="0"/>
        <c:ser>
          <c:idx val="2"/>
          <c:order val="0"/>
          <c:tx>
            <c:strRef>
              <c:f>'Graphique 7'!$E$3</c:f>
              <c:strCache>
                <c:ptCount val="1"/>
                <c:pt idx="0">
                  <c:v>Français (1) </c:v>
                </c:pt>
              </c:strCache>
            </c:strRef>
          </c:tx>
          <c:spPr>
            <a:ln w="25400">
              <a:solidFill>
                <a:srgbClr val="FF0000"/>
              </a:solidFill>
              <a:prstDash val="solid"/>
            </a:ln>
          </c:spPr>
          <c:marker>
            <c:symbol val="none"/>
          </c:marker>
          <c:cat>
            <c:strRef>
              <c:f>'Graphique 7'!$A$4:$A$12</c:f>
              <c:strCache>
                <c:ptCount val="9"/>
                <c:pt idx="0">
                  <c:v>2012-2013</c:v>
                </c:pt>
                <c:pt idx="1">
                  <c:v>2013-2014</c:v>
                </c:pt>
                <c:pt idx="2">
                  <c:v>2014-2015</c:v>
                </c:pt>
                <c:pt idx="3">
                  <c:v>2015-2016</c:v>
                </c:pt>
                <c:pt idx="4">
                  <c:v>2016-2017</c:v>
                </c:pt>
                <c:pt idx="5">
                  <c:v>2017-2018</c:v>
                </c:pt>
                <c:pt idx="6">
                  <c:v>2018-2019</c:v>
                </c:pt>
                <c:pt idx="7">
                  <c:v>2019-2020</c:v>
                </c:pt>
                <c:pt idx="8">
                  <c:v>2020-2021</c:v>
                </c:pt>
              </c:strCache>
            </c:strRef>
          </c:cat>
          <c:val>
            <c:numRef>
              <c:f>'Graphique 7'!$E$4:$E$12</c:f>
              <c:numCache>
                <c:formatCode>0.0</c:formatCode>
                <c:ptCount val="9"/>
                <c:pt idx="0">
                  <c:v>100</c:v>
                </c:pt>
                <c:pt idx="1">
                  <c:v>102.26726060836116</c:v>
                </c:pt>
                <c:pt idx="2">
                  <c:v>103.87009514216828</c:v>
                </c:pt>
                <c:pt idx="3">
                  <c:v>106.44070010203869</c:v>
                </c:pt>
                <c:pt idx="4">
                  <c:v>108.04198432399825</c:v>
                </c:pt>
                <c:pt idx="5">
                  <c:v>110.49063141852592</c:v>
                </c:pt>
                <c:pt idx="6">
                  <c:v>112.66811487716831</c:v>
                </c:pt>
                <c:pt idx="7">
                  <c:v>114.50255660517408</c:v>
                </c:pt>
                <c:pt idx="8">
                  <c:v>117.81129792107879</c:v>
                </c:pt>
              </c:numCache>
            </c:numRef>
          </c:val>
          <c:smooth val="0"/>
          <c:extLst>
            <c:ext xmlns:c16="http://schemas.microsoft.com/office/drawing/2014/chart" uri="{C3380CC4-5D6E-409C-BE32-E72D297353CC}">
              <c16:uniqueId val="{00000000-097D-40B4-98AD-354A9D0EE058}"/>
            </c:ext>
          </c:extLst>
        </c:ser>
        <c:ser>
          <c:idx val="0"/>
          <c:order val="1"/>
          <c:tx>
            <c:strRef>
              <c:f>'Graphique 7'!$F$3</c:f>
              <c:strCache>
                <c:ptCount val="1"/>
                <c:pt idx="0">
                  <c:v>Etudiants étrangers en mobilité internationale</c:v>
                </c:pt>
              </c:strCache>
            </c:strRef>
          </c:tx>
          <c:marker>
            <c:symbol val="none"/>
          </c:marker>
          <c:cat>
            <c:strRef>
              <c:f>'Graphique 7'!$A$4:$A$12</c:f>
              <c:strCache>
                <c:ptCount val="9"/>
                <c:pt idx="0">
                  <c:v>2012-2013</c:v>
                </c:pt>
                <c:pt idx="1">
                  <c:v>2013-2014</c:v>
                </c:pt>
                <c:pt idx="2">
                  <c:v>2014-2015</c:v>
                </c:pt>
                <c:pt idx="3">
                  <c:v>2015-2016</c:v>
                </c:pt>
                <c:pt idx="4">
                  <c:v>2016-2017</c:v>
                </c:pt>
                <c:pt idx="5">
                  <c:v>2017-2018</c:v>
                </c:pt>
                <c:pt idx="6">
                  <c:v>2018-2019</c:v>
                </c:pt>
                <c:pt idx="7">
                  <c:v>2019-2020</c:v>
                </c:pt>
                <c:pt idx="8">
                  <c:v>2020-2021</c:v>
                </c:pt>
              </c:strCache>
            </c:strRef>
          </c:cat>
          <c:val>
            <c:numRef>
              <c:f>'Graphique 7'!$F$4:$F$12</c:f>
              <c:numCache>
                <c:formatCode>0.0</c:formatCode>
                <c:ptCount val="9"/>
                <c:pt idx="0">
                  <c:v>100</c:v>
                </c:pt>
                <c:pt idx="1">
                  <c:v>101.68685121107266</c:v>
                </c:pt>
                <c:pt idx="2">
                  <c:v>103.02768166089965</c:v>
                </c:pt>
                <c:pt idx="3">
                  <c:v>105.57958477508649</c:v>
                </c:pt>
                <c:pt idx="4">
                  <c:v>110.16435986159168</c:v>
                </c:pt>
                <c:pt idx="5">
                  <c:v>116.99826989619375</c:v>
                </c:pt>
                <c:pt idx="6">
                  <c:v>122.70761245674738</c:v>
                </c:pt>
                <c:pt idx="7">
                  <c:v>125.6358131487889</c:v>
                </c:pt>
                <c:pt idx="8">
                  <c:v>120.36245674740482</c:v>
                </c:pt>
              </c:numCache>
            </c:numRef>
          </c:val>
          <c:smooth val="0"/>
          <c:extLst>
            <c:ext xmlns:c16="http://schemas.microsoft.com/office/drawing/2014/chart" uri="{C3380CC4-5D6E-409C-BE32-E72D297353CC}">
              <c16:uniqueId val="{00000001-097D-40B4-98AD-354A9D0EE058}"/>
            </c:ext>
          </c:extLst>
        </c:ser>
        <c:ser>
          <c:idx val="1"/>
          <c:order val="2"/>
          <c:tx>
            <c:strRef>
              <c:f>'Graphique 7'!$G$3</c:f>
              <c:strCache>
                <c:ptCount val="1"/>
                <c:pt idx="0">
                  <c:v>Ensemble (2)</c:v>
                </c:pt>
              </c:strCache>
            </c:strRef>
          </c:tx>
          <c:marker>
            <c:symbol val="none"/>
          </c:marker>
          <c:cat>
            <c:strRef>
              <c:f>'Graphique 7'!$A$4:$A$12</c:f>
              <c:strCache>
                <c:ptCount val="9"/>
                <c:pt idx="0">
                  <c:v>2012-2013</c:v>
                </c:pt>
                <c:pt idx="1">
                  <c:v>2013-2014</c:v>
                </c:pt>
                <c:pt idx="2">
                  <c:v>2014-2015</c:v>
                </c:pt>
                <c:pt idx="3">
                  <c:v>2015-2016</c:v>
                </c:pt>
                <c:pt idx="4">
                  <c:v>2016-2017</c:v>
                </c:pt>
                <c:pt idx="5">
                  <c:v>2017-2018</c:v>
                </c:pt>
                <c:pt idx="6">
                  <c:v>2018-2019</c:v>
                </c:pt>
                <c:pt idx="7">
                  <c:v>2019-2020</c:v>
                </c:pt>
                <c:pt idx="8">
                  <c:v>2020-2021</c:v>
                </c:pt>
              </c:strCache>
            </c:strRef>
          </c:cat>
          <c:val>
            <c:numRef>
              <c:f>'Graphique 7'!$G$4:$G$12</c:f>
              <c:numCache>
                <c:formatCode>0.0</c:formatCode>
                <c:ptCount val="9"/>
                <c:pt idx="0">
                  <c:v>100</c:v>
                </c:pt>
                <c:pt idx="1">
                  <c:v>102.21039543962125</c:v>
                </c:pt>
                <c:pt idx="2">
                  <c:v>103.78756032280647</c:v>
                </c:pt>
                <c:pt idx="3">
                  <c:v>106.35633298358677</c:v>
                </c:pt>
                <c:pt idx="4">
                  <c:v>108.24992245118662</c:v>
                </c:pt>
                <c:pt idx="5">
                  <c:v>111.12821234305899</c:v>
                </c:pt>
                <c:pt idx="6">
                  <c:v>113.65257453585127</c:v>
                </c:pt>
                <c:pt idx="7">
                  <c:v>115.59332893748801</c:v>
                </c:pt>
                <c:pt idx="8">
                  <c:v>118.06124576447873</c:v>
                </c:pt>
              </c:numCache>
            </c:numRef>
          </c:val>
          <c:smooth val="0"/>
          <c:extLst>
            <c:ext xmlns:c16="http://schemas.microsoft.com/office/drawing/2014/chart" uri="{C3380CC4-5D6E-409C-BE32-E72D297353CC}">
              <c16:uniqueId val="{00000002-097D-40B4-98AD-354A9D0EE058}"/>
            </c:ext>
          </c:extLst>
        </c:ser>
        <c:dLbls>
          <c:showLegendKey val="0"/>
          <c:showVal val="0"/>
          <c:showCatName val="0"/>
          <c:showSerName val="0"/>
          <c:showPercent val="0"/>
          <c:showBubbleSize val="0"/>
        </c:dLbls>
        <c:smooth val="0"/>
        <c:axId val="226046336"/>
        <c:axId val="226047872"/>
      </c:lineChart>
      <c:catAx>
        <c:axId val="2260463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226047872"/>
        <c:crosses val="autoZero"/>
        <c:auto val="1"/>
        <c:lblAlgn val="ctr"/>
        <c:lblOffset val="100"/>
        <c:tickLblSkip val="1"/>
        <c:tickMarkSkip val="1"/>
        <c:noMultiLvlLbl val="0"/>
      </c:catAx>
      <c:valAx>
        <c:axId val="226047872"/>
        <c:scaling>
          <c:orientation val="minMax"/>
          <c:min val="95"/>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fr-FR"/>
          </a:p>
        </c:txPr>
        <c:crossAx val="226046336"/>
        <c:crosses val="autoZero"/>
        <c:crossBetween val="between"/>
      </c:valAx>
      <c:spPr>
        <a:noFill/>
        <a:ln w="25400">
          <a:noFill/>
        </a:ln>
      </c:spPr>
    </c:plotArea>
    <c:legend>
      <c:legendPos val="r"/>
      <c:layout>
        <c:manualLayout>
          <c:xMode val="edge"/>
          <c:yMode val="edge"/>
          <c:x val="6.7453751634483569E-2"/>
          <c:y val="0.77335687584506485"/>
          <c:w val="0.90152876849380559"/>
          <c:h val="6.2404075742720652E-2"/>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073104553125071E-2"/>
          <c:y val="0.10612582518094328"/>
          <c:w val="0.89781085895504886"/>
          <c:h val="0.5830264853256979"/>
        </c:manualLayout>
      </c:layout>
      <c:lineChart>
        <c:grouping val="standard"/>
        <c:varyColors val="0"/>
        <c:ser>
          <c:idx val="2"/>
          <c:order val="0"/>
          <c:tx>
            <c:strRef>
              <c:f>'Graphique 7'!$E$3</c:f>
              <c:strCache>
                <c:ptCount val="1"/>
                <c:pt idx="0">
                  <c:v>Français (1) </c:v>
                </c:pt>
              </c:strCache>
            </c:strRef>
          </c:tx>
          <c:spPr>
            <a:ln w="25400">
              <a:solidFill>
                <a:srgbClr val="FF0000"/>
              </a:solidFill>
              <a:prstDash val="solid"/>
            </a:ln>
          </c:spPr>
          <c:marker>
            <c:symbol val="none"/>
          </c:marker>
          <c:cat>
            <c:strRef>
              <c:f>'Graphique 7'!$A$4:$A$14</c:f>
              <c:strCache>
                <c:ptCount val="11"/>
                <c:pt idx="0">
                  <c:v>2012-2013</c:v>
                </c:pt>
                <c:pt idx="1">
                  <c:v>2013-2014</c:v>
                </c:pt>
                <c:pt idx="2">
                  <c:v>2014-2015</c:v>
                </c:pt>
                <c:pt idx="3">
                  <c:v>2015-2016</c:v>
                </c:pt>
                <c:pt idx="4">
                  <c:v>2016-2017</c:v>
                </c:pt>
                <c:pt idx="5">
                  <c:v>2017-2018</c:v>
                </c:pt>
                <c:pt idx="6">
                  <c:v>2018-2019</c:v>
                </c:pt>
                <c:pt idx="7">
                  <c:v>2019-2020</c:v>
                </c:pt>
                <c:pt idx="8">
                  <c:v>2020-2021</c:v>
                </c:pt>
                <c:pt idx="9">
                  <c:v>2021-2022</c:v>
                </c:pt>
                <c:pt idx="10">
                  <c:v>2022-2023</c:v>
                </c:pt>
              </c:strCache>
            </c:strRef>
          </c:cat>
          <c:val>
            <c:numRef>
              <c:f>'Graphique 7'!$E$4:$E$14</c:f>
              <c:numCache>
                <c:formatCode>0.0</c:formatCode>
                <c:ptCount val="11"/>
                <c:pt idx="0">
                  <c:v>100</c:v>
                </c:pt>
                <c:pt idx="1">
                  <c:v>102.26726060836116</c:v>
                </c:pt>
                <c:pt idx="2">
                  <c:v>103.87009514216828</c:v>
                </c:pt>
                <c:pt idx="3">
                  <c:v>106.44070010203869</c:v>
                </c:pt>
                <c:pt idx="4">
                  <c:v>108.04198432399825</c:v>
                </c:pt>
                <c:pt idx="5">
                  <c:v>110.49063141852592</c:v>
                </c:pt>
                <c:pt idx="6">
                  <c:v>112.66811487716831</c:v>
                </c:pt>
                <c:pt idx="7">
                  <c:v>114.50255660517408</c:v>
                </c:pt>
                <c:pt idx="8">
                  <c:v>117.81129792107879</c:v>
                </c:pt>
                <c:pt idx="9">
                  <c:v>118.35667883739764</c:v>
                </c:pt>
                <c:pt idx="10">
                  <c:v>114.89332914905729</c:v>
                </c:pt>
              </c:numCache>
            </c:numRef>
          </c:val>
          <c:smooth val="0"/>
          <c:extLst>
            <c:ext xmlns:c16="http://schemas.microsoft.com/office/drawing/2014/chart" uri="{C3380CC4-5D6E-409C-BE32-E72D297353CC}">
              <c16:uniqueId val="{00000000-1D37-49CD-B01C-A1C686972054}"/>
            </c:ext>
          </c:extLst>
        </c:ser>
        <c:ser>
          <c:idx val="0"/>
          <c:order val="1"/>
          <c:tx>
            <c:strRef>
              <c:f>'Graphique 7'!$F$3</c:f>
              <c:strCache>
                <c:ptCount val="1"/>
                <c:pt idx="0">
                  <c:v>Etudiants étrangers en mobilité internationale</c:v>
                </c:pt>
              </c:strCache>
            </c:strRef>
          </c:tx>
          <c:marker>
            <c:symbol val="none"/>
          </c:marker>
          <c:cat>
            <c:strRef>
              <c:f>'Graphique 7'!$A$4:$A$14</c:f>
              <c:strCache>
                <c:ptCount val="11"/>
                <c:pt idx="0">
                  <c:v>2012-2013</c:v>
                </c:pt>
                <c:pt idx="1">
                  <c:v>2013-2014</c:v>
                </c:pt>
                <c:pt idx="2">
                  <c:v>2014-2015</c:v>
                </c:pt>
                <c:pt idx="3">
                  <c:v>2015-2016</c:v>
                </c:pt>
                <c:pt idx="4">
                  <c:v>2016-2017</c:v>
                </c:pt>
                <c:pt idx="5">
                  <c:v>2017-2018</c:v>
                </c:pt>
                <c:pt idx="6">
                  <c:v>2018-2019</c:v>
                </c:pt>
                <c:pt idx="7">
                  <c:v>2019-2020</c:v>
                </c:pt>
                <c:pt idx="8">
                  <c:v>2020-2021</c:v>
                </c:pt>
                <c:pt idx="9">
                  <c:v>2021-2022</c:v>
                </c:pt>
                <c:pt idx="10">
                  <c:v>2022-2023</c:v>
                </c:pt>
              </c:strCache>
            </c:strRef>
          </c:cat>
          <c:val>
            <c:numRef>
              <c:f>'Graphique 7'!$F$4:$F$14</c:f>
              <c:numCache>
                <c:formatCode>0.0</c:formatCode>
                <c:ptCount val="11"/>
                <c:pt idx="0">
                  <c:v>100</c:v>
                </c:pt>
                <c:pt idx="1">
                  <c:v>101.68685121107266</c:v>
                </c:pt>
                <c:pt idx="2">
                  <c:v>103.02768166089965</c:v>
                </c:pt>
                <c:pt idx="3">
                  <c:v>105.57958477508649</c:v>
                </c:pt>
                <c:pt idx="4">
                  <c:v>110.16435986159168</c:v>
                </c:pt>
                <c:pt idx="5">
                  <c:v>116.99826989619375</c:v>
                </c:pt>
                <c:pt idx="6">
                  <c:v>122.70761245674738</c:v>
                </c:pt>
                <c:pt idx="7">
                  <c:v>125.6358131487889</c:v>
                </c:pt>
                <c:pt idx="8">
                  <c:v>120.36245674740482</c:v>
                </c:pt>
                <c:pt idx="9">
                  <c:v>131.05276816608995</c:v>
                </c:pt>
                <c:pt idx="10">
                  <c:v>134.41133217993078</c:v>
                </c:pt>
              </c:numCache>
            </c:numRef>
          </c:val>
          <c:smooth val="0"/>
          <c:extLst>
            <c:ext xmlns:c16="http://schemas.microsoft.com/office/drawing/2014/chart" uri="{C3380CC4-5D6E-409C-BE32-E72D297353CC}">
              <c16:uniqueId val="{00000001-1D37-49CD-B01C-A1C686972054}"/>
            </c:ext>
          </c:extLst>
        </c:ser>
        <c:ser>
          <c:idx val="1"/>
          <c:order val="2"/>
          <c:tx>
            <c:strRef>
              <c:f>'Graphique 7'!$G$3</c:f>
              <c:strCache>
                <c:ptCount val="1"/>
                <c:pt idx="0">
                  <c:v>Ensemble (2)</c:v>
                </c:pt>
              </c:strCache>
            </c:strRef>
          </c:tx>
          <c:marker>
            <c:symbol val="none"/>
          </c:marker>
          <c:cat>
            <c:strRef>
              <c:f>'Graphique 7'!$A$4:$A$14</c:f>
              <c:strCache>
                <c:ptCount val="11"/>
                <c:pt idx="0">
                  <c:v>2012-2013</c:v>
                </c:pt>
                <c:pt idx="1">
                  <c:v>2013-2014</c:v>
                </c:pt>
                <c:pt idx="2">
                  <c:v>2014-2015</c:v>
                </c:pt>
                <c:pt idx="3">
                  <c:v>2015-2016</c:v>
                </c:pt>
                <c:pt idx="4">
                  <c:v>2016-2017</c:v>
                </c:pt>
                <c:pt idx="5">
                  <c:v>2017-2018</c:v>
                </c:pt>
                <c:pt idx="6">
                  <c:v>2018-2019</c:v>
                </c:pt>
                <c:pt idx="7">
                  <c:v>2019-2020</c:v>
                </c:pt>
                <c:pt idx="8">
                  <c:v>2020-2021</c:v>
                </c:pt>
                <c:pt idx="9">
                  <c:v>2021-2022</c:v>
                </c:pt>
                <c:pt idx="10">
                  <c:v>2022-2023</c:v>
                </c:pt>
              </c:strCache>
            </c:strRef>
          </c:cat>
          <c:val>
            <c:numRef>
              <c:f>'Graphique 7'!$G$4:$G$14</c:f>
              <c:numCache>
                <c:formatCode>0.0</c:formatCode>
                <c:ptCount val="11"/>
                <c:pt idx="0">
                  <c:v>100</c:v>
                </c:pt>
                <c:pt idx="1">
                  <c:v>102.21039543962125</c:v>
                </c:pt>
                <c:pt idx="2">
                  <c:v>103.78756032280647</c:v>
                </c:pt>
                <c:pt idx="3">
                  <c:v>106.35633298358677</c:v>
                </c:pt>
                <c:pt idx="4">
                  <c:v>108.24992245118662</c:v>
                </c:pt>
                <c:pt idx="5">
                  <c:v>111.12821234305899</c:v>
                </c:pt>
                <c:pt idx="6">
                  <c:v>113.65257453585127</c:v>
                </c:pt>
                <c:pt idx="7">
                  <c:v>115.59332893748801</c:v>
                </c:pt>
                <c:pt idx="8">
                  <c:v>118.06124576447873</c:v>
                </c:pt>
                <c:pt idx="9">
                  <c:v>119.60056852179248</c:v>
                </c:pt>
                <c:pt idx="10">
                  <c:v>116.80559063379837</c:v>
                </c:pt>
              </c:numCache>
            </c:numRef>
          </c:val>
          <c:smooth val="0"/>
          <c:extLst>
            <c:ext xmlns:c16="http://schemas.microsoft.com/office/drawing/2014/chart" uri="{C3380CC4-5D6E-409C-BE32-E72D297353CC}">
              <c16:uniqueId val="{00000002-1D37-49CD-B01C-A1C686972054}"/>
            </c:ext>
          </c:extLst>
        </c:ser>
        <c:dLbls>
          <c:showLegendKey val="0"/>
          <c:showVal val="0"/>
          <c:showCatName val="0"/>
          <c:showSerName val="0"/>
          <c:showPercent val="0"/>
          <c:showBubbleSize val="0"/>
        </c:dLbls>
        <c:smooth val="0"/>
        <c:axId val="226046336"/>
        <c:axId val="226047872"/>
      </c:lineChart>
      <c:catAx>
        <c:axId val="2260463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226047872"/>
        <c:crosses val="autoZero"/>
        <c:auto val="1"/>
        <c:lblAlgn val="ctr"/>
        <c:lblOffset val="100"/>
        <c:tickLblSkip val="1"/>
        <c:tickMarkSkip val="1"/>
        <c:noMultiLvlLbl val="0"/>
      </c:catAx>
      <c:valAx>
        <c:axId val="226047872"/>
        <c:scaling>
          <c:orientation val="minMax"/>
          <c:min val="95"/>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fr-FR"/>
          </a:p>
        </c:txPr>
        <c:crossAx val="226046336"/>
        <c:crosses val="autoZero"/>
        <c:crossBetween val="between"/>
      </c:valAx>
      <c:spPr>
        <a:noFill/>
        <a:ln w="25400">
          <a:noFill/>
        </a:ln>
      </c:spPr>
    </c:plotArea>
    <c:legend>
      <c:legendPos val="r"/>
      <c:layout>
        <c:manualLayout>
          <c:xMode val="edge"/>
          <c:yMode val="edge"/>
          <c:x val="6.7453751634483569E-2"/>
          <c:y val="0.77335687584506485"/>
          <c:w val="0.90152876849380559"/>
          <c:h val="6.2404075742720652E-2"/>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5</xdr:col>
      <xdr:colOff>215066</xdr:colOff>
      <xdr:row>1</xdr:row>
      <xdr:rowOff>83831</xdr:rowOff>
    </xdr:from>
    <xdr:to>
      <xdr:col>11</xdr:col>
      <xdr:colOff>328257</xdr:colOff>
      <xdr:row>17</xdr:row>
      <xdr:rowOff>52771</xdr:rowOff>
    </xdr:to>
    <xdr:pic>
      <xdr:nvPicPr>
        <xdr:cNvPr id="8" name="Image 7"/>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25066" y="245756"/>
          <a:ext cx="4818541" cy="3407465"/>
        </a:xfrm>
        <a:prstGeom prst="rect">
          <a:avLst/>
        </a:prstGeom>
      </xdr:spPr>
    </xdr:pic>
    <xdr:clientData/>
  </xdr:twoCellAnchor>
  <xdr:twoCellAnchor editAs="oneCell">
    <xdr:from>
      <xdr:col>5</xdr:col>
      <xdr:colOff>440417</xdr:colOff>
      <xdr:row>17</xdr:row>
      <xdr:rowOff>16745</xdr:rowOff>
    </xdr:from>
    <xdr:to>
      <xdr:col>11</xdr:col>
      <xdr:colOff>493032</xdr:colOff>
      <xdr:row>36</xdr:row>
      <xdr:rowOff>152398</xdr:rowOff>
    </xdr:to>
    <xdr:pic>
      <xdr:nvPicPr>
        <xdr:cNvPr id="10" name="Image 9"/>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50417" y="3617195"/>
          <a:ext cx="4757965" cy="3364628"/>
        </a:xfrm>
        <a:prstGeom prst="rect">
          <a:avLst/>
        </a:prstGeom>
      </xdr:spPr>
    </xdr:pic>
    <xdr:clientData/>
  </xdr:twoCellAnchor>
  <xdr:twoCellAnchor editAs="oneCell">
    <xdr:from>
      <xdr:col>0</xdr:col>
      <xdr:colOff>1</xdr:colOff>
      <xdr:row>1</xdr:row>
      <xdr:rowOff>149119</xdr:rowOff>
    </xdr:from>
    <xdr:to>
      <xdr:col>6</xdr:col>
      <xdr:colOff>248993</xdr:colOff>
      <xdr:row>17</xdr:row>
      <xdr:rowOff>119793</xdr:rowOff>
    </xdr:to>
    <xdr:pic>
      <xdr:nvPicPr>
        <xdr:cNvPr id="7" name="Image 6"/>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 y="311044"/>
          <a:ext cx="4820992" cy="3409199"/>
        </a:xfrm>
        <a:prstGeom prst="rect">
          <a:avLst/>
        </a:prstGeom>
      </xdr:spPr>
    </xdr:pic>
    <xdr:clientData/>
  </xdr:twoCellAnchor>
  <xdr:twoCellAnchor editAs="oneCell">
    <xdr:from>
      <xdr:col>0</xdr:col>
      <xdr:colOff>0</xdr:colOff>
      <xdr:row>17</xdr:row>
      <xdr:rowOff>20588</xdr:rowOff>
    </xdr:from>
    <xdr:to>
      <xdr:col>6</xdr:col>
      <xdr:colOff>148158</xdr:colOff>
      <xdr:row>36</xdr:row>
      <xdr:rowOff>129506</xdr:rowOff>
    </xdr:to>
    <xdr:pic>
      <xdr:nvPicPr>
        <xdr:cNvPr id="9" name="Image 8"/>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0" y="3621038"/>
          <a:ext cx="4720158" cy="333789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22</xdr:row>
      <xdr:rowOff>0</xdr:rowOff>
    </xdr:from>
    <xdr:to>
      <xdr:col>6</xdr:col>
      <xdr:colOff>1219201</xdr:colOff>
      <xdr:row>55</xdr:row>
      <xdr:rowOff>9525</xdr:rowOff>
    </xdr:to>
    <xdr:graphicFrame macro="">
      <xdr:nvGraphicFramePr>
        <xdr:cNvPr id="2134308"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0.16396</cdr:x>
      <cdr:y>0.42543</cdr:y>
    </cdr:from>
    <cdr:to>
      <cdr:x>0.34586</cdr:x>
      <cdr:y>0.47491</cdr:y>
    </cdr:to>
    <cdr:sp macro="" textlink="">
      <cdr:nvSpPr>
        <cdr:cNvPr id="2" name="ZoneTexte 1"/>
        <cdr:cNvSpPr txBox="1"/>
      </cdr:nvSpPr>
      <cdr:spPr>
        <a:xfrm xmlns:a="http://schemas.openxmlformats.org/drawingml/2006/main">
          <a:off x="1413373" y="2277363"/>
          <a:ext cx="1567952" cy="264869"/>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none" rtlCol="0"/>
        <a:lstStyle xmlns:a="http://schemas.openxmlformats.org/drawingml/2006/main"/>
        <a:p xmlns:a="http://schemas.openxmlformats.org/drawingml/2006/main">
          <a:r>
            <a:rPr lang="fr-FR" sz="1000" b="1">
              <a:solidFill>
                <a:sysClr val="windowText" lastClr="000000"/>
              </a:solidFill>
              <a:latin typeface="Arial" panose="020B0604020202020204" pitchFamily="34" charset="0"/>
              <a:cs typeface="Arial" panose="020B0604020202020204" pitchFamily="34" charset="0"/>
            </a:rPr>
            <a:t>Ensemble des étudiants</a:t>
          </a:r>
        </a:p>
      </cdr:txBody>
    </cdr:sp>
  </cdr:relSizeAnchor>
</c:userShapes>
</file>

<file path=xl/drawings/drawing12.xml><?xml version="1.0" encoding="utf-8"?>
<xdr:wsDr xmlns:xdr="http://schemas.openxmlformats.org/drawingml/2006/spreadsheetDrawing" xmlns:a="http://schemas.openxmlformats.org/drawingml/2006/main">
  <xdr:twoCellAnchor>
    <xdr:from>
      <xdr:col>1</xdr:col>
      <xdr:colOff>19050</xdr:colOff>
      <xdr:row>27</xdr:row>
      <xdr:rowOff>57150</xdr:rowOff>
    </xdr:from>
    <xdr:to>
      <xdr:col>12</xdr:col>
      <xdr:colOff>0</xdr:colOff>
      <xdr:row>64</xdr:row>
      <xdr:rowOff>47625</xdr:rowOff>
    </xdr:to>
    <xdr:graphicFrame macro="">
      <xdr:nvGraphicFramePr>
        <xdr:cNvPr id="2121032"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27</xdr:row>
      <xdr:rowOff>57150</xdr:rowOff>
    </xdr:from>
    <xdr:to>
      <xdr:col>12</xdr:col>
      <xdr:colOff>0</xdr:colOff>
      <xdr:row>64</xdr:row>
      <xdr:rowOff>47625</xdr:rowOff>
    </xdr:to>
    <xdr:graphicFrame macro="">
      <xdr:nvGraphicFramePr>
        <xdr:cNvPr id="3"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0.13458</cdr:x>
      <cdr:y>0.33265</cdr:y>
    </cdr:from>
    <cdr:to>
      <cdr:x>0.16716</cdr:x>
      <cdr:y>0.71499</cdr:y>
    </cdr:to>
    <cdr:sp macro="" textlink="">
      <cdr:nvSpPr>
        <cdr:cNvPr id="2" name="Accolade ouvrante 1"/>
        <cdr:cNvSpPr/>
      </cdr:nvSpPr>
      <cdr:spPr>
        <a:xfrm xmlns:a="http://schemas.openxmlformats.org/drawingml/2006/main">
          <a:off x="1266827" y="1976440"/>
          <a:ext cx="304798" cy="2295526"/>
        </a:xfrm>
        <a:prstGeom xmlns:a="http://schemas.openxmlformats.org/drawingml/2006/main" prst="leftBrace">
          <a:avLst/>
        </a:prstGeom>
        <a:ln xmlns:a="http://schemas.openxmlformats.org/drawingml/2006/main" w="19050" cmpd="thickTh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fr-FR"/>
        </a:p>
      </cdr:txBody>
    </cdr:sp>
  </cdr:relSizeAnchor>
  <cdr:relSizeAnchor xmlns:cdr="http://schemas.openxmlformats.org/drawingml/2006/chartDrawing">
    <cdr:from>
      <cdr:x>0.04444</cdr:x>
      <cdr:y>0.499</cdr:y>
    </cdr:from>
    <cdr:to>
      <cdr:x>0.14165</cdr:x>
      <cdr:y>0.54178</cdr:y>
    </cdr:to>
    <cdr:sp macro="" textlink="">
      <cdr:nvSpPr>
        <cdr:cNvPr id="3" name="ZoneTexte 2"/>
        <cdr:cNvSpPr txBox="1"/>
      </cdr:nvSpPr>
      <cdr:spPr>
        <a:xfrm xmlns:a="http://schemas.openxmlformats.org/drawingml/2006/main">
          <a:off x="419100" y="2976565"/>
          <a:ext cx="914400" cy="25717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100" b="1"/>
            <a:t>Universités</a:t>
          </a:r>
        </a:p>
      </cdr:txBody>
    </cdr:sp>
  </cdr:relSizeAnchor>
  <cdr:relSizeAnchor xmlns:cdr="http://schemas.openxmlformats.org/drawingml/2006/chartDrawing">
    <cdr:from>
      <cdr:x>0.23013</cdr:x>
      <cdr:y>0.1029</cdr:y>
    </cdr:from>
    <cdr:to>
      <cdr:x>0.31363</cdr:x>
      <cdr:y>0.14691</cdr:y>
    </cdr:to>
    <cdr:sp macro="" textlink="">
      <cdr:nvSpPr>
        <cdr:cNvPr id="4" name="ZoneTexte 1"/>
        <cdr:cNvSpPr txBox="1"/>
      </cdr:nvSpPr>
      <cdr:spPr>
        <a:xfrm xmlns:a="http://schemas.openxmlformats.org/drawingml/2006/main">
          <a:off x="2165350" y="603250"/>
          <a:ext cx="787400" cy="257175"/>
        </a:xfrm>
        <a:prstGeom xmlns:a="http://schemas.openxmlformats.org/drawingml/2006/main" prst="rect">
          <a:avLst/>
        </a:prstGeom>
        <a:solidFill xmlns:a="http://schemas.openxmlformats.org/drawingml/2006/main">
          <a:sysClr val="window" lastClr="FFFFFF"/>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b="1"/>
            <a:t>Ensemble</a:t>
          </a:r>
        </a:p>
      </cdr:txBody>
    </cdr:sp>
  </cdr:relSizeAnchor>
</c:userShapes>
</file>

<file path=xl/drawings/drawing14.xml><?xml version="1.0" encoding="utf-8"?>
<c:userShapes xmlns:c="http://schemas.openxmlformats.org/drawingml/2006/chart">
  <cdr:relSizeAnchor xmlns:cdr="http://schemas.openxmlformats.org/drawingml/2006/chartDrawing">
    <cdr:from>
      <cdr:x>0.13458</cdr:x>
      <cdr:y>0.33265</cdr:y>
    </cdr:from>
    <cdr:to>
      <cdr:x>0.16716</cdr:x>
      <cdr:y>0.71499</cdr:y>
    </cdr:to>
    <cdr:sp macro="" textlink="">
      <cdr:nvSpPr>
        <cdr:cNvPr id="2" name="Accolade ouvrante 1"/>
        <cdr:cNvSpPr/>
      </cdr:nvSpPr>
      <cdr:spPr>
        <a:xfrm xmlns:a="http://schemas.openxmlformats.org/drawingml/2006/main">
          <a:off x="1266827" y="1976440"/>
          <a:ext cx="304798" cy="2295526"/>
        </a:xfrm>
        <a:prstGeom xmlns:a="http://schemas.openxmlformats.org/drawingml/2006/main" prst="leftBrace">
          <a:avLst/>
        </a:prstGeom>
        <a:ln xmlns:a="http://schemas.openxmlformats.org/drawingml/2006/main" w="19050" cmpd="thickTh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fr-FR"/>
        </a:p>
      </cdr:txBody>
    </cdr:sp>
  </cdr:relSizeAnchor>
  <cdr:relSizeAnchor xmlns:cdr="http://schemas.openxmlformats.org/drawingml/2006/chartDrawing">
    <cdr:from>
      <cdr:x>0.04444</cdr:x>
      <cdr:y>0.499</cdr:y>
    </cdr:from>
    <cdr:to>
      <cdr:x>0.14165</cdr:x>
      <cdr:y>0.54178</cdr:y>
    </cdr:to>
    <cdr:sp macro="" textlink="">
      <cdr:nvSpPr>
        <cdr:cNvPr id="3" name="ZoneTexte 2"/>
        <cdr:cNvSpPr txBox="1"/>
      </cdr:nvSpPr>
      <cdr:spPr>
        <a:xfrm xmlns:a="http://schemas.openxmlformats.org/drawingml/2006/main">
          <a:off x="419100" y="2976565"/>
          <a:ext cx="914400" cy="25717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100" b="1"/>
            <a:t>Universités</a:t>
          </a:r>
        </a:p>
      </cdr:txBody>
    </cdr:sp>
  </cdr:relSizeAnchor>
  <cdr:relSizeAnchor xmlns:cdr="http://schemas.openxmlformats.org/drawingml/2006/chartDrawing">
    <cdr:from>
      <cdr:x>0.23013</cdr:x>
      <cdr:y>0.1029</cdr:y>
    </cdr:from>
    <cdr:to>
      <cdr:x>0.31363</cdr:x>
      <cdr:y>0.14691</cdr:y>
    </cdr:to>
    <cdr:sp macro="" textlink="">
      <cdr:nvSpPr>
        <cdr:cNvPr id="4" name="ZoneTexte 1"/>
        <cdr:cNvSpPr txBox="1"/>
      </cdr:nvSpPr>
      <cdr:spPr>
        <a:xfrm xmlns:a="http://schemas.openxmlformats.org/drawingml/2006/main">
          <a:off x="2165350" y="603250"/>
          <a:ext cx="787400" cy="257175"/>
        </a:xfrm>
        <a:prstGeom xmlns:a="http://schemas.openxmlformats.org/drawingml/2006/main" prst="rect">
          <a:avLst/>
        </a:prstGeom>
        <a:solidFill xmlns:a="http://schemas.openxmlformats.org/drawingml/2006/main">
          <a:sysClr val="window" lastClr="FFFFFF"/>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b="1"/>
            <a:t>Ensemble</a:t>
          </a:r>
        </a:p>
      </cdr:txBody>
    </cdr:sp>
  </cdr:relSizeAnchor>
</c:userShapes>
</file>

<file path=xl/drawings/drawing15.xml><?xml version="1.0" encoding="utf-8"?>
<xdr:wsDr xmlns:xdr="http://schemas.openxmlformats.org/drawingml/2006/spreadsheetDrawing" xmlns:a="http://schemas.openxmlformats.org/drawingml/2006/main">
  <xdr:twoCellAnchor>
    <xdr:from>
      <xdr:col>0</xdr:col>
      <xdr:colOff>688975</xdr:colOff>
      <xdr:row>20</xdr:row>
      <xdr:rowOff>68790</xdr:rowOff>
    </xdr:from>
    <xdr:to>
      <xdr:col>10</xdr:col>
      <xdr:colOff>615950</xdr:colOff>
      <xdr:row>48</xdr:row>
      <xdr:rowOff>126999</xdr:rowOff>
    </xdr:to>
    <xdr:graphicFrame macro="">
      <xdr:nvGraphicFramePr>
        <xdr:cNvPr id="2050358"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688975</xdr:colOff>
      <xdr:row>20</xdr:row>
      <xdr:rowOff>68790</xdr:rowOff>
    </xdr:from>
    <xdr:to>
      <xdr:col>10</xdr:col>
      <xdr:colOff>615950</xdr:colOff>
      <xdr:row>48</xdr:row>
      <xdr:rowOff>126999</xdr:rowOff>
    </xdr:to>
    <xdr:graphicFrame macro="">
      <xdr:nvGraphicFramePr>
        <xdr:cNvPr id="3"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0.00255</cdr:x>
      <cdr:y>0.84287</cdr:y>
    </cdr:from>
    <cdr:to>
      <cdr:x>1</cdr:x>
      <cdr:y>0.95511</cdr:y>
    </cdr:to>
    <cdr:sp macro="" textlink="">
      <cdr:nvSpPr>
        <cdr:cNvPr id="18433" name="Text Box 1"/>
        <cdr:cNvSpPr txBox="1">
          <a:spLocks xmlns:a="http://schemas.openxmlformats.org/drawingml/2006/main" noChangeArrowheads="1"/>
        </cdr:cNvSpPr>
      </cdr:nvSpPr>
      <cdr:spPr bwMode="auto">
        <a:xfrm xmlns:a="http://schemas.openxmlformats.org/drawingml/2006/main">
          <a:off x="20108" y="3974027"/>
          <a:ext cx="7876117" cy="52919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r>
            <a:rPr lang="fr-FR" i="1">
              <a:effectLst/>
            </a:rPr>
            <a:t>(1) y compris les étudiants étrangers ayant obtenu un baccalauréat ou une équivalence sur le territoire français. En 2020</a:t>
          </a:r>
          <a:r>
            <a:rPr lang="fr-FR" i="1" baseline="0">
              <a:effectLst/>
            </a:rPr>
            <a:t> -</a:t>
          </a:r>
          <a:r>
            <a:rPr lang="fr-FR" i="1">
              <a:effectLst/>
            </a:rPr>
            <a:t>2021, ils sont au nombre de 86 500 (soit 3,4 % des étudiants Français ou résidents).</a:t>
          </a:r>
        </a:p>
        <a:p xmlns:a="http://schemas.openxmlformats.org/drawingml/2006/main">
          <a:endParaRPr lang="fr-FR"/>
        </a:p>
      </cdr:txBody>
    </cdr:sp>
  </cdr:relSizeAnchor>
</c:userShapes>
</file>

<file path=xl/drawings/drawing17.xml><?xml version="1.0" encoding="utf-8"?>
<c:userShapes xmlns:c="http://schemas.openxmlformats.org/drawingml/2006/chart">
  <cdr:relSizeAnchor xmlns:cdr="http://schemas.openxmlformats.org/drawingml/2006/chartDrawing">
    <cdr:from>
      <cdr:x>0.00255</cdr:x>
      <cdr:y>0.84287</cdr:y>
    </cdr:from>
    <cdr:to>
      <cdr:x>1</cdr:x>
      <cdr:y>1</cdr:y>
    </cdr:to>
    <cdr:sp macro="" textlink="">
      <cdr:nvSpPr>
        <cdr:cNvPr id="18433" name="Text Box 1"/>
        <cdr:cNvSpPr txBox="1">
          <a:spLocks xmlns:a="http://schemas.openxmlformats.org/drawingml/2006/main" noChangeArrowheads="1"/>
        </cdr:cNvSpPr>
      </cdr:nvSpPr>
      <cdr:spPr bwMode="auto">
        <a:xfrm xmlns:a="http://schemas.openxmlformats.org/drawingml/2006/main">
          <a:off x="20513" y="3974027"/>
          <a:ext cx="8023879" cy="74084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r>
            <a:rPr lang="fr-FR" sz="1100" i="1">
              <a:effectLst/>
              <a:latin typeface="+mn-lt"/>
              <a:ea typeface="+mn-ea"/>
              <a:cs typeface="+mn-cs"/>
            </a:rPr>
            <a:t>(1) y compris les étudiants étrangers ayant obtenu un baccalauréat ou une équivalence sur le territoire français. En 2022-23, ils sont au nombre de 92 100 (soit 3,8 % des étudiants Français ou résidents). </a:t>
          </a:r>
          <a:endParaRPr lang="fr-FR">
            <a:effectLst/>
          </a:endParaRPr>
        </a:p>
        <a:p xmlns:a="http://schemas.openxmlformats.org/drawingml/2006/main">
          <a:r>
            <a:rPr lang="fr-FR" sz="1100" i="1">
              <a:effectLst/>
              <a:latin typeface="+mn-lt"/>
              <a:ea typeface="+mn-ea"/>
              <a:cs typeface="+mn-cs"/>
            </a:rPr>
            <a:t>(2) hors</a:t>
          </a:r>
          <a:r>
            <a:rPr lang="fr-FR" sz="1100" i="1" baseline="0">
              <a:effectLst/>
              <a:latin typeface="+mn-lt"/>
              <a:ea typeface="+mn-ea"/>
              <a:cs typeface="+mn-cs"/>
            </a:rPr>
            <a:t> étudiants en STS en apprentissage, pour lesquels la mobilité n'est pas calculée.</a:t>
          </a:r>
          <a:endParaRPr lang="fr-FR">
            <a:effectLst/>
          </a:endParaRPr>
        </a:p>
        <a:p xmlns:a="http://schemas.openxmlformats.org/drawingml/2006/main">
          <a:endParaRPr lang="fr-FR"/>
        </a:p>
      </cdr:txBody>
    </cdr:sp>
  </cdr:relSizeAnchor>
</c:userShapes>
</file>

<file path=xl/drawings/drawing18.xml><?xml version="1.0" encoding="utf-8"?>
<xdr:wsDr xmlns:xdr="http://schemas.openxmlformats.org/drawingml/2006/spreadsheetDrawing" xmlns:a="http://schemas.openxmlformats.org/drawingml/2006/main">
  <xdr:twoCellAnchor>
    <xdr:from>
      <xdr:col>0</xdr:col>
      <xdr:colOff>86845</xdr:colOff>
      <xdr:row>15</xdr:row>
      <xdr:rowOff>9525</xdr:rowOff>
    </xdr:from>
    <xdr:to>
      <xdr:col>9</xdr:col>
      <xdr:colOff>224117</xdr:colOff>
      <xdr:row>48</xdr:row>
      <xdr:rowOff>0</xdr:rowOff>
    </xdr:to>
    <xdr:graphicFrame macro="">
      <xdr:nvGraphicFramePr>
        <xdr:cNvPr id="2054761"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66675</xdr:colOff>
      <xdr:row>39</xdr:row>
      <xdr:rowOff>19050</xdr:rowOff>
    </xdr:from>
    <xdr:to>
      <xdr:col>4</xdr:col>
      <xdr:colOff>171450</xdr:colOff>
      <xdr:row>40</xdr:row>
      <xdr:rowOff>47625</xdr:rowOff>
    </xdr:to>
    <xdr:sp macro="" textlink="">
      <xdr:nvSpPr>
        <xdr:cNvPr id="2054762" name="Text Box 2"/>
        <xdr:cNvSpPr txBox="1">
          <a:spLocks noChangeArrowheads="1"/>
        </xdr:cNvSpPr>
      </xdr:nvSpPr>
      <xdr:spPr bwMode="auto">
        <a:xfrm>
          <a:off x="66675" y="7077075"/>
          <a:ext cx="54768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19.xml><?xml version="1.0" encoding="utf-8"?>
<c:userShapes xmlns:c="http://schemas.openxmlformats.org/drawingml/2006/chart">
  <cdr:relSizeAnchor xmlns:cdr="http://schemas.openxmlformats.org/drawingml/2006/chartDrawing">
    <cdr:from>
      <cdr:x>0.00388</cdr:x>
      <cdr:y>0.9423</cdr:y>
    </cdr:from>
    <cdr:to>
      <cdr:x>0.00388</cdr:x>
      <cdr:y>0.9423</cdr:y>
    </cdr:to>
    <cdr:sp macro="" textlink="">
      <cdr:nvSpPr>
        <cdr:cNvPr id="26625" name="Text Box 1"/>
        <cdr:cNvSpPr txBox="1">
          <a:spLocks xmlns:a="http://schemas.openxmlformats.org/drawingml/2006/main" noChangeArrowheads="1"/>
        </cdr:cNvSpPr>
      </cdr:nvSpPr>
      <cdr:spPr bwMode="auto">
        <a:xfrm xmlns:a="http://schemas.openxmlformats.org/drawingml/2006/main">
          <a:off x="50800" y="3638225"/>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1" u="none" strike="noStrike" baseline="0">
              <a:solidFill>
                <a:srgbClr val="000000"/>
              </a:solidFill>
              <a:latin typeface="Arial"/>
              <a:cs typeface="Arial"/>
            </a:rPr>
            <a:t>Sources : MESR-DGESIP-DGRI-SIES et MEN-MESR-DEPP</a:t>
          </a:r>
        </a:p>
      </cdr:txBody>
    </cdr:sp>
  </cdr:relSizeAnchor>
  <cdr:relSizeAnchor xmlns:cdr="http://schemas.openxmlformats.org/drawingml/2006/chartDrawing">
    <cdr:from>
      <cdr:x>0.07972</cdr:x>
      <cdr:y>0.83109</cdr:y>
    </cdr:from>
    <cdr:to>
      <cdr:x>0.20222</cdr:x>
      <cdr:y>1</cdr:y>
    </cdr:to>
    <cdr:sp macro="" textlink="">
      <cdr:nvSpPr>
        <cdr:cNvPr id="2" name="ZoneTexte 1"/>
        <cdr:cNvSpPr txBox="1"/>
      </cdr:nvSpPr>
      <cdr:spPr>
        <a:xfrm xmlns:a="http://schemas.openxmlformats.org/drawingml/2006/main">
          <a:off x="595033" y="5178239"/>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0.01066</cdr:x>
      <cdr:y>0.86989</cdr:y>
    </cdr:from>
    <cdr:to>
      <cdr:x>0.99715</cdr:x>
      <cdr:y>0.9588</cdr:y>
    </cdr:to>
    <cdr:sp macro="" textlink="">
      <cdr:nvSpPr>
        <cdr:cNvPr id="3" name="ZoneTexte 2"/>
        <cdr:cNvSpPr txBox="1"/>
      </cdr:nvSpPr>
      <cdr:spPr>
        <a:xfrm xmlns:a="http://schemas.openxmlformats.org/drawingml/2006/main">
          <a:off x="93205" y="4495238"/>
          <a:ext cx="8625266" cy="45944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nSpc>
              <a:spcPts val="1000"/>
            </a:lnSpc>
          </a:pPr>
          <a:r>
            <a:rPr lang="fr-FR" sz="1000">
              <a:latin typeface="Arial" panose="020B0604020202020204" pitchFamily="34" charset="0"/>
              <a:cs typeface="Arial" panose="020B0604020202020204" pitchFamily="34" charset="0"/>
            </a:rPr>
            <a:t>(1) hors IUT et formations d'ingénieur.</a:t>
          </a:r>
        </a:p>
        <a:p xmlns:a="http://schemas.openxmlformats.org/drawingml/2006/main">
          <a:pPr>
            <a:lnSpc>
              <a:spcPts val="1000"/>
            </a:lnSpc>
          </a:pPr>
          <a:r>
            <a:rPr lang="fr-FR" sz="1000">
              <a:latin typeface="Arial" panose="020B0604020202020204" pitchFamily="34" charset="0"/>
              <a:cs typeface="Arial" panose="020B0604020202020204" pitchFamily="34" charset="0"/>
            </a:rPr>
            <a:t>(2) y compris formations universitaires et formations d'ingénieurs en partenariat.</a:t>
          </a:r>
        </a:p>
        <a:p xmlns:a="http://schemas.openxmlformats.org/drawingml/2006/main">
          <a:pPr>
            <a:lnSpc>
              <a:spcPts val="1000"/>
            </a:lnSpc>
          </a:pPr>
          <a:r>
            <a:rPr lang="fr-FR" sz="1000">
              <a:latin typeface="Arial" panose="020B0604020202020204" pitchFamily="34" charset="0"/>
              <a:cs typeface="Arial" panose="020B0604020202020204" pitchFamily="34" charset="0"/>
            </a:rPr>
            <a:t>(3) hors étudiant en STS en apprentissage, pour lesquels la mobilité n'est pas calculée.</a:t>
          </a: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58270</xdr:colOff>
      <xdr:row>10</xdr:row>
      <xdr:rowOff>66675</xdr:rowOff>
    </xdr:from>
    <xdr:to>
      <xdr:col>10</xdr:col>
      <xdr:colOff>19050</xdr:colOff>
      <xdr:row>43</xdr:row>
      <xdr:rowOff>57150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66675</xdr:colOff>
      <xdr:row>34</xdr:row>
      <xdr:rowOff>19050</xdr:rowOff>
    </xdr:from>
    <xdr:to>
      <xdr:col>4</xdr:col>
      <xdr:colOff>171450</xdr:colOff>
      <xdr:row>35</xdr:row>
      <xdr:rowOff>47625</xdr:rowOff>
    </xdr:to>
    <xdr:sp macro="" textlink="">
      <xdr:nvSpPr>
        <xdr:cNvPr id="3" name="Text Box 2"/>
        <xdr:cNvSpPr txBox="1">
          <a:spLocks noChangeArrowheads="1"/>
        </xdr:cNvSpPr>
      </xdr:nvSpPr>
      <xdr:spPr bwMode="auto">
        <a:xfrm>
          <a:off x="66675" y="5953125"/>
          <a:ext cx="52578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24</xdr:row>
      <xdr:rowOff>133350</xdr:rowOff>
    </xdr:from>
    <xdr:to>
      <xdr:col>8</xdr:col>
      <xdr:colOff>104775</xdr:colOff>
      <xdr:row>56</xdr:row>
      <xdr:rowOff>85725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0.4363</cdr:x>
      <cdr:y>0.28385</cdr:y>
    </cdr:from>
    <cdr:to>
      <cdr:x>0.53458</cdr:x>
      <cdr:y>0.43423</cdr:y>
    </cdr:to>
    <cdr:sp macro="" textlink="">
      <cdr:nvSpPr>
        <cdr:cNvPr id="2" name="ZoneTexte 1"/>
        <cdr:cNvSpPr txBox="1"/>
      </cdr:nvSpPr>
      <cdr:spPr>
        <a:xfrm xmlns:a="http://schemas.openxmlformats.org/drawingml/2006/main">
          <a:off x="3100195" y="1386999"/>
          <a:ext cx="698343" cy="73480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fr-FR" sz="1100" b="1">
              <a:solidFill>
                <a:schemeClr val="bg1"/>
              </a:solidFill>
            </a:rPr>
            <a:t>Amérique </a:t>
          </a:r>
        </a:p>
        <a:p xmlns:a="http://schemas.openxmlformats.org/drawingml/2006/main">
          <a:pPr algn="ctr"/>
          <a:r>
            <a:rPr lang="fr-FR" sz="1100" b="1">
              <a:solidFill>
                <a:schemeClr val="bg1"/>
              </a:solidFill>
            </a:rPr>
            <a:t>9 %</a:t>
          </a:r>
        </a:p>
      </cdr:txBody>
    </cdr:sp>
  </cdr:relSizeAnchor>
  <cdr:relSizeAnchor xmlns:cdr="http://schemas.openxmlformats.org/drawingml/2006/chartDrawing">
    <cdr:from>
      <cdr:x>0.55567</cdr:x>
      <cdr:y>0.45073</cdr:y>
    </cdr:from>
    <cdr:to>
      <cdr:x>0.65395</cdr:x>
      <cdr:y>0.6011</cdr:y>
    </cdr:to>
    <cdr:sp macro="" textlink="">
      <cdr:nvSpPr>
        <cdr:cNvPr id="3" name="ZoneTexte 1"/>
        <cdr:cNvSpPr txBox="1"/>
      </cdr:nvSpPr>
      <cdr:spPr>
        <a:xfrm xmlns:a="http://schemas.openxmlformats.org/drawingml/2006/main">
          <a:off x="3948416" y="2202389"/>
          <a:ext cx="698343" cy="73480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100" b="1">
              <a:solidFill>
                <a:schemeClr val="bg1"/>
              </a:solidFill>
            </a:rPr>
            <a:t>Afrique</a:t>
          </a:r>
        </a:p>
        <a:p xmlns:a="http://schemas.openxmlformats.org/drawingml/2006/main">
          <a:pPr algn="ctr"/>
          <a:r>
            <a:rPr lang="fr-FR" sz="1100" b="1">
              <a:solidFill>
                <a:schemeClr val="bg1"/>
              </a:solidFill>
            </a:rPr>
            <a:t> 50</a:t>
          </a:r>
          <a:r>
            <a:rPr lang="fr-FR" sz="1100" b="1" baseline="0">
              <a:solidFill>
                <a:schemeClr val="bg1"/>
              </a:solidFill>
            </a:rPr>
            <a:t> </a:t>
          </a:r>
          <a:r>
            <a:rPr lang="fr-FR" sz="1100" b="1">
              <a:solidFill>
                <a:schemeClr val="bg1"/>
              </a:solidFill>
            </a:rPr>
            <a:t>%</a:t>
          </a:r>
        </a:p>
      </cdr:txBody>
    </cdr:sp>
  </cdr:relSizeAnchor>
  <cdr:relSizeAnchor xmlns:cdr="http://schemas.openxmlformats.org/drawingml/2006/chartDrawing">
    <cdr:from>
      <cdr:x>0.00546</cdr:x>
      <cdr:y>0.00835</cdr:y>
    </cdr:from>
    <cdr:to>
      <cdr:x>0.10374</cdr:x>
      <cdr:y>0.15873</cdr:y>
    </cdr:to>
    <cdr:sp macro="" textlink="">
      <cdr:nvSpPr>
        <cdr:cNvPr id="4" name="ZoneTexte 1"/>
        <cdr:cNvSpPr txBox="1"/>
      </cdr:nvSpPr>
      <cdr:spPr>
        <a:xfrm xmlns:a="http://schemas.openxmlformats.org/drawingml/2006/main">
          <a:off x="50800" y="50800"/>
          <a:ext cx="914400" cy="9144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100" b="1">
              <a:solidFill>
                <a:schemeClr val="bg1"/>
              </a:solidFill>
            </a:rPr>
            <a:t>Afrique</a:t>
          </a:r>
        </a:p>
        <a:p xmlns:a="http://schemas.openxmlformats.org/drawingml/2006/main">
          <a:pPr algn="ctr"/>
          <a:r>
            <a:rPr lang="fr-FR" sz="1100" b="1">
              <a:solidFill>
                <a:schemeClr val="bg1"/>
              </a:solidFill>
            </a:rPr>
            <a:t> 11%</a:t>
          </a:r>
        </a:p>
      </cdr:txBody>
    </cdr:sp>
  </cdr:relSizeAnchor>
  <cdr:relSizeAnchor xmlns:cdr="http://schemas.openxmlformats.org/drawingml/2006/chartDrawing">
    <cdr:from>
      <cdr:x>0.40233</cdr:x>
      <cdr:y>0.58967</cdr:y>
    </cdr:from>
    <cdr:to>
      <cdr:x>0.50061</cdr:x>
      <cdr:y>0.74005</cdr:y>
    </cdr:to>
    <cdr:sp macro="" textlink="">
      <cdr:nvSpPr>
        <cdr:cNvPr id="5" name="ZoneTexte 1"/>
        <cdr:cNvSpPr txBox="1"/>
      </cdr:nvSpPr>
      <cdr:spPr>
        <a:xfrm xmlns:a="http://schemas.openxmlformats.org/drawingml/2006/main">
          <a:off x="2858844" y="2881320"/>
          <a:ext cx="698343" cy="73480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100" b="1">
              <a:solidFill>
                <a:schemeClr val="bg1"/>
              </a:solidFill>
            </a:rPr>
            <a:t>Asie, Océanie</a:t>
          </a:r>
        </a:p>
        <a:p xmlns:a="http://schemas.openxmlformats.org/drawingml/2006/main">
          <a:pPr algn="ctr"/>
          <a:r>
            <a:rPr lang="fr-FR" sz="1100" b="1">
              <a:solidFill>
                <a:schemeClr val="bg1"/>
              </a:solidFill>
            </a:rPr>
            <a:t>22</a:t>
          </a:r>
          <a:r>
            <a:rPr lang="fr-FR" sz="1100" b="1" baseline="0">
              <a:solidFill>
                <a:schemeClr val="bg1"/>
              </a:solidFill>
            </a:rPr>
            <a:t> </a:t>
          </a:r>
          <a:r>
            <a:rPr lang="fr-FR" sz="1100" b="1">
              <a:solidFill>
                <a:schemeClr val="bg1"/>
              </a:solidFill>
            </a:rPr>
            <a:t>%</a:t>
          </a:r>
        </a:p>
      </cdr:txBody>
    </cdr:sp>
  </cdr:relSizeAnchor>
  <cdr:relSizeAnchor xmlns:cdr="http://schemas.openxmlformats.org/drawingml/2006/chartDrawing">
    <cdr:from>
      <cdr:x>0.36978</cdr:x>
      <cdr:y>0.39676</cdr:y>
    </cdr:from>
    <cdr:to>
      <cdr:x>0.46806</cdr:x>
      <cdr:y>0.54714</cdr:y>
    </cdr:to>
    <cdr:sp macro="" textlink="">
      <cdr:nvSpPr>
        <cdr:cNvPr id="6" name="ZoneTexte 1"/>
        <cdr:cNvSpPr txBox="1"/>
      </cdr:nvSpPr>
      <cdr:spPr>
        <a:xfrm xmlns:a="http://schemas.openxmlformats.org/drawingml/2006/main">
          <a:off x="2627534" y="1938707"/>
          <a:ext cx="698343" cy="73480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100" b="1">
              <a:solidFill>
                <a:schemeClr val="bg1"/>
              </a:solidFill>
            </a:rPr>
            <a:t>Europe</a:t>
          </a:r>
        </a:p>
        <a:p xmlns:a="http://schemas.openxmlformats.org/drawingml/2006/main">
          <a:pPr algn="ctr"/>
          <a:r>
            <a:rPr lang="fr-FR" sz="1100" b="1">
              <a:solidFill>
                <a:schemeClr val="bg1"/>
              </a:solidFill>
            </a:rPr>
            <a:t>19 %</a:t>
          </a:r>
        </a:p>
      </cdr:txBody>
    </cdr:sp>
  </cdr:relSizeAnchor>
</c:userShapes>
</file>

<file path=xl/drawings/drawing3.xml><?xml version="1.0" encoding="utf-8"?>
<c:userShapes xmlns:c="http://schemas.openxmlformats.org/drawingml/2006/chart">
  <cdr:relSizeAnchor xmlns:cdr="http://schemas.openxmlformats.org/drawingml/2006/chartDrawing">
    <cdr:from>
      <cdr:x>0.00388</cdr:x>
      <cdr:y>0.9423</cdr:y>
    </cdr:from>
    <cdr:to>
      <cdr:x>0.00388</cdr:x>
      <cdr:y>0.9423</cdr:y>
    </cdr:to>
    <cdr:sp macro="" textlink="">
      <cdr:nvSpPr>
        <cdr:cNvPr id="26625" name="Text Box 1"/>
        <cdr:cNvSpPr txBox="1">
          <a:spLocks xmlns:a="http://schemas.openxmlformats.org/drawingml/2006/main" noChangeArrowheads="1"/>
        </cdr:cNvSpPr>
      </cdr:nvSpPr>
      <cdr:spPr bwMode="auto">
        <a:xfrm xmlns:a="http://schemas.openxmlformats.org/drawingml/2006/main">
          <a:off x="50800" y="3638225"/>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1" u="none" strike="noStrike" baseline="0">
              <a:solidFill>
                <a:srgbClr val="000000"/>
              </a:solidFill>
              <a:latin typeface="Arial"/>
              <a:cs typeface="Arial"/>
            </a:rPr>
            <a:t>Sources : MESR-DGESIP-DGRI-SIES et MEN-MESR-DEPP</a:t>
          </a:r>
        </a:p>
      </cdr:txBody>
    </cdr:sp>
  </cdr:relSizeAnchor>
  <cdr:relSizeAnchor xmlns:cdr="http://schemas.openxmlformats.org/drawingml/2006/chartDrawing">
    <cdr:from>
      <cdr:x>0.07972</cdr:x>
      <cdr:y>0.83109</cdr:y>
    </cdr:from>
    <cdr:to>
      <cdr:x>0.20222</cdr:x>
      <cdr:y>1</cdr:y>
    </cdr:to>
    <cdr:sp macro="" textlink="">
      <cdr:nvSpPr>
        <cdr:cNvPr id="2" name="ZoneTexte 1"/>
        <cdr:cNvSpPr txBox="1"/>
      </cdr:nvSpPr>
      <cdr:spPr>
        <a:xfrm xmlns:a="http://schemas.openxmlformats.org/drawingml/2006/main">
          <a:off x="595033" y="5178239"/>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0.00471</cdr:x>
      <cdr:y>0.93609</cdr:y>
    </cdr:from>
    <cdr:to>
      <cdr:x>0.9912</cdr:x>
      <cdr:y>0.97321</cdr:y>
    </cdr:to>
    <cdr:sp macro="" textlink="">
      <cdr:nvSpPr>
        <cdr:cNvPr id="3" name="ZoneTexte 2"/>
        <cdr:cNvSpPr txBox="1"/>
      </cdr:nvSpPr>
      <cdr:spPr>
        <a:xfrm xmlns:a="http://schemas.openxmlformats.org/drawingml/2006/main">
          <a:off x="45187" y="4993104"/>
          <a:ext cx="9470383" cy="19802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nSpc>
              <a:spcPts val="1000"/>
            </a:lnSpc>
          </a:pPr>
          <a:r>
            <a:rPr lang="fr-FR" sz="1000">
              <a:latin typeface="Arial" panose="020B0604020202020204" pitchFamily="34" charset="0"/>
              <a:cs typeface="Arial" panose="020B0604020202020204" pitchFamily="34" charset="0"/>
            </a:rPr>
            <a:t>(1)</a:t>
          </a:r>
          <a:r>
            <a:rPr lang="fr-FR" sz="1000" baseline="0">
              <a:latin typeface="Arial" panose="020B0604020202020204" pitchFamily="34" charset="0"/>
              <a:cs typeface="Arial" panose="020B0604020202020204" pitchFamily="34" charset="0"/>
            </a:rPr>
            <a:t> y compris Lorraine</a:t>
          </a:r>
          <a:endParaRPr lang="fr-FR" sz="1000">
            <a:latin typeface="Arial" panose="020B0604020202020204" pitchFamily="34" charset="0"/>
            <a:cs typeface="Arial" panose="020B0604020202020204" pitchFamily="34" charset="0"/>
          </a:endParaRP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58270</xdr:colOff>
      <xdr:row>18</xdr:row>
      <xdr:rowOff>66675</xdr:rowOff>
    </xdr:from>
    <xdr:to>
      <xdr:col>10</xdr:col>
      <xdr:colOff>19050</xdr:colOff>
      <xdr:row>53</xdr:row>
      <xdr:rowOff>171450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66675</xdr:colOff>
      <xdr:row>42</xdr:row>
      <xdr:rowOff>19050</xdr:rowOff>
    </xdr:from>
    <xdr:to>
      <xdr:col>4</xdr:col>
      <xdr:colOff>171450</xdr:colOff>
      <xdr:row>43</xdr:row>
      <xdr:rowOff>47625</xdr:rowOff>
    </xdr:to>
    <xdr:sp macro="" textlink="">
      <xdr:nvSpPr>
        <xdr:cNvPr id="3" name="Text Box 2"/>
        <xdr:cNvSpPr txBox="1">
          <a:spLocks noChangeArrowheads="1"/>
        </xdr:cNvSpPr>
      </xdr:nvSpPr>
      <xdr:spPr bwMode="auto">
        <a:xfrm>
          <a:off x="66675" y="7800975"/>
          <a:ext cx="5410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5.xml><?xml version="1.0" encoding="utf-8"?>
<c:userShapes xmlns:c="http://schemas.openxmlformats.org/drawingml/2006/chart">
  <cdr:relSizeAnchor xmlns:cdr="http://schemas.openxmlformats.org/drawingml/2006/chartDrawing">
    <cdr:from>
      <cdr:x>0.00388</cdr:x>
      <cdr:y>0.9423</cdr:y>
    </cdr:from>
    <cdr:to>
      <cdr:x>0.00388</cdr:x>
      <cdr:y>0.9423</cdr:y>
    </cdr:to>
    <cdr:sp macro="" textlink="">
      <cdr:nvSpPr>
        <cdr:cNvPr id="26625" name="Text Box 1"/>
        <cdr:cNvSpPr txBox="1">
          <a:spLocks xmlns:a="http://schemas.openxmlformats.org/drawingml/2006/main" noChangeArrowheads="1"/>
        </cdr:cNvSpPr>
      </cdr:nvSpPr>
      <cdr:spPr bwMode="auto">
        <a:xfrm xmlns:a="http://schemas.openxmlformats.org/drawingml/2006/main">
          <a:off x="50800" y="3638225"/>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1" u="none" strike="noStrike" baseline="0">
              <a:solidFill>
                <a:srgbClr val="000000"/>
              </a:solidFill>
              <a:latin typeface="Arial"/>
              <a:cs typeface="Arial"/>
            </a:rPr>
            <a:t>Sources : MESR-DGESIP-DGRI-SIES et MEN-MESR-DEPP</a:t>
          </a:r>
        </a:p>
      </cdr:txBody>
    </cdr:sp>
  </cdr:relSizeAnchor>
  <cdr:relSizeAnchor xmlns:cdr="http://schemas.openxmlformats.org/drawingml/2006/chartDrawing">
    <cdr:from>
      <cdr:x>0.07972</cdr:x>
      <cdr:y>0.83109</cdr:y>
    </cdr:from>
    <cdr:to>
      <cdr:x>0.20222</cdr:x>
      <cdr:y>1</cdr:y>
    </cdr:to>
    <cdr:sp macro="" textlink="">
      <cdr:nvSpPr>
        <cdr:cNvPr id="2" name="ZoneTexte 1"/>
        <cdr:cNvSpPr txBox="1"/>
      </cdr:nvSpPr>
      <cdr:spPr>
        <a:xfrm xmlns:a="http://schemas.openxmlformats.org/drawingml/2006/main">
          <a:off x="595033" y="5178239"/>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0.00471</cdr:x>
      <cdr:y>0.93609</cdr:y>
    </cdr:from>
    <cdr:to>
      <cdr:x>0.9912</cdr:x>
      <cdr:y>0.99669</cdr:y>
    </cdr:to>
    <cdr:sp macro="" textlink="">
      <cdr:nvSpPr>
        <cdr:cNvPr id="3" name="ZoneTexte 2"/>
        <cdr:cNvSpPr txBox="1"/>
      </cdr:nvSpPr>
      <cdr:spPr>
        <a:xfrm xmlns:a="http://schemas.openxmlformats.org/drawingml/2006/main">
          <a:off x="45934" y="5394335"/>
          <a:ext cx="9620724" cy="34923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nSpc>
              <a:spcPts val="1000"/>
            </a:lnSpc>
          </a:pPr>
          <a:r>
            <a:rPr lang="fr-FR" sz="1000" baseline="0">
              <a:latin typeface="Arial" panose="020B0604020202020204" pitchFamily="34" charset="0"/>
              <a:cs typeface="Arial" panose="020B0604020202020204" pitchFamily="34" charset="0"/>
            </a:rPr>
            <a:t>(1) Données provisoires en 2022-2023 pour les formations paramédicales et sociales (reconduction des données 2021-2022 pour les enquêtes 'santé' et 'social'). </a:t>
          </a:r>
        </a:p>
        <a:p xmlns:a="http://schemas.openxmlformats.org/drawingml/2006/main">
          <a:pPr>
            <a:lnSpc>
              <a:spcPts val="1000"/>
            </a:lnSpc>
          </a:pPr>
          <a:r>
            <a:rPr lang="fr-FR" sz="1000" baseline="0">
              <a:latin typeface="Arial" panose="020B0604020202020204" pitchFamily="34" charset="0"/>
              <a:cs typeface="Arial" panose="020B0604020202020204" pitchFamily="34" charset="0"/>
            </a:rPr>
            <a:t> </a:t>
          </a:r>
          <a:endParaRPr lang="fr-FR" sz="1000">
            <a:latin typeface="Arial" panose="020B0604020202020204" pitchFamily="34" charset="0"/>
            <a:cs typeface="Arial" panose="020B0604020202020204" pitchFamily="34" charset="0"/>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523875</xdr:colOff>
      <xdr:row>23</xdr:row>
      <xdr:rowOff>66675</xdr:rowOff>
    </xdr:from>
    <xdr:to>
      <xdr:col>11</xdr:col>
      <xdr:colOff>122144</xdr:colOff>
      <xdr:row>47</xdr:row>
      <xdr:rowOff>71718</xdr:rowOff>
    </xdr:to>
    <xdr:graphicFrame macro="">
      <xdr:nvGraphicFramePr>
        <xdr:cNvPr id="4"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0.91114</cdr:x>
      <cdr:y>0.17467</cdr:y>
    </cdr:from>
    <cdr:to>
      <cdr:x>0.91114</cdr:x>
      <cdr:y>0.17467</cdr:y>
    </cdr:to>
    <cdr:sp macro="" textlink="">
      <cdr:nvSpPr>
        <cdr:cNvPr id="2050" name="Text Box 2"/>
        <cdr:cNvSpPr txBox="1">
          <a:spLocks xmlns:a="http://schemas.openxmlformats.org/drawingml/2006/main" noChangeArrowheads="1"/>
        </cdr:cNvSpPr>
      </cdr:nvSpPr>
      <cdr:spPr bwMode="auto">
        <a:xfrm xmlns:a="http://schemas.openxmlformats.org/drawingml/2006/main">
          <a:off x="6168993" y="670008"/>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0.9109</cdr:x>
      <cdr:y>0.47756</cdr:y>
    </cdr:from>
    <cdr:to>
      <cdr:x>0.9109</cdr:x>
      <cdr:y>0.47756</cdr:y>
    </cdr:to>
    <cdr:sp macro="" textlink="">
      <cdr:nvSpPr>
        <cdr:cNvPr id="2051" name="Text Box 3"/>
        <cdr:cNvSpPr txBox="1">
          <a:spLocks xmlns:a="http://schemas.openxmlformats.org/drawingml/2006/main" noChangeArrowheads="1"/>
        </cdr:cNvSpPr>
      </cdr:nvSpPr>
      <cdr:spPr bwMode="auto">
        <a:xfrm xmlns:a="http://schemas.openxmlformats.org/drawingml/2006/main">
          <a:off x="6168993" y="1840359"/>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0.90203</cdr:x>
      <cdr:y>0.59974</cdr:y>
    </cdr:from>
    <cdr:to>
      <cdr:x>0.90203</cdr:x>
      <cdr:y>0.59974</cdr:y>
    </cdr:to>
    <cdr:sp macro="" textlink="">
      <cdr:nvSpPr>
        <cdr:cNvPr id="2052" name="Text Box 4"/>
        <cdr:cNvSpPr txBox="1">
          <a:spLocks xmlns:a="http://schemas.openxmlformats.org/drawingml/2006/main" noChangeArrowheads="1"/>
        </cdr:cNvSpPr>
      </cdr:nvSpPr>
      <cdr:spPr bwMode="auto">
        <a:xfrm xmlns:a="http://schemas.openxmlformats.org/drawingml/2006/main">
          <a:off x="6113829" y="2316819"/>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0.91114</cdr:x>
      <cdr:y>0.68266</cdr:y>
    </cdr:from>
    <cdr:to>
      <cdr:x>0.91114</cdr:x>
      <cdr:y>0.68266</cdr:y>
    </cdr:to>
    <cdr:sp macro="" textlink="">
      <cdr:nvSpPr>
        <cdr:cNvPr id="2053" name="Text Box 5"/>
        <cdr:cNvSpPr txBox="1">
          <a:spLocks xmlns:a="http://schemas.openxmlformats.org/drawingml/2006/main" noChangeArrowheads="1"/>
        </cdr:cNvSpPr>
      </cdr:nvSpPr>
      <cdr:spPr bwMode="auto">
        <a:xfrm xmlns:a="http://schemas.openxmlformats.org/drawingml/2006/main">
          <a:off x="6168993" y="2642967"/>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0.91114</cdr:x>
      <cdr:y>0.74705</cdr:y>
    </cdr:from>
    <cdr:to>
      <cdr:x>0.91114</cdr:x>
      <cdr:y>0.74705</cdr:y>
    </cdr:to>
    <cdr:sp macro="" textlink="">
      <cdr:nvSpPr>
        <cdr:cNvPr id="2054" name="Text Box 6"/>
        <cdr:cNvSpPr txBox="1">
          <a:spLocks xmlns:a="http://schemas.openxmlformats.org/drawingml/2006/main" noChangeArrowheads="1"/>
        </cdr:cNvSpPr>
      </cdr:nvSpPr>
      <cdr:spPr bwMode="auto">
        <a:xfrm xmlns:a="http://schemas.openxmlformats.org/drawingml/2006/main">
          <a:off x="6168993" y="2888759"/>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a:lstStyle xmlns:a="http://schemas.openxmlformats.org/drawingml/2006/main"/>
        <a:p xmlns:a="http://schemas.openxmlformats.org/drawingml/2006/main">
          <a:endParaRPr lang="fr-FR"/>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11206</xdr:colOff>
      <xdr:row>23</xdr:row>
      <xdr:rowOff>11206</xdr:rowOff>
    </xdr:from>
    <xdr:to>
      <xdr:col>12</xdr:col>
      <xdr:colOff>161925</xdr:colOff>
      <xdr:row>46</xdr:row>
      <xdr:rowOff>57150</xdr:rowOff>
    </xdr:to>
    <xdr:graphicFrame macro="">
      <xdr:nvGraphicFramePr>
        <xdr:cNvPr id="3"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0.91114</cdr:x>
      <cdr:y>0.17467</cdr:y>
    </cdr:from>
    <cdr:to>
      <cdr:x>0.91114</cdr:x>
      <cdr:y>0.17467</cdr:y>
    </cdr:to>
    <cdr:sp macro="" textlink="">
      <cdr:nvSpPr>
        <cdr:cNvPr id="2050" name="Text Box 2"/>
        <cdr:cNvSpPr txBox="1">
          <a:spLocks xmlns:a="http://schemas.openxmlformats.org/drawingml/2006/main" noChangeArrowheads="1"/>
        </cdr:cNvSpPr>
      </cdr:nvSpPr>
      <cdr:spPr bwMode="auto">
        <a:xfrm xmlns:a="http://schemas.openxmlformats.org/drawingml/2006/main">
          <a:off x="6168993" y="670008"/>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0.9109</cdr:x>
      <cdr:y>0.47756</cdr:y>
    </cdr:from>
    <cdr:to>
      <cdr:x>0.9109</cdr:x>
      <cdr:y>0.47756</cdr:y>
    </cdr:to>
    <cdr:sp macro="" textlink="">
      <cdr:nvSpPr>
        <cdr:cNvPr id="2051" name="Text Box 3"/>
        <cdr:cNvSpPr txBox="1">
          <a:spLocks xmlns:a="http://schemas.openxmlformats.org/drawingml/2006/main" noChangeArrowheads="1"/>
        </cdr:cNvSpPr>
      </cdr:nvSpPr>
      <cdr:spPr bwMode="auto">
        <a:xfrm xmlns:a="http://schemas.openxmlformats.org/drawingml/2006/main">
          <a:off x="6168993" y="1840359"/>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0.90203</cdr:x>
      <cdr:y>0.59974</cdr:y>
    </cdr:from>
    <cdr:to>
      <cdr:x>0.90203</cdr:x>
      <cdr:y>0.59974</cdr:y>
    </cdr:to>
    <cdr:sp macro="" textlink="">
      <cdr:nvSpPr>
        <cdr:cNvPr id="2052" name="Text Box 4"/>
        <cdr:cNvSpPr txBox="1">
          <a:spLocks xmlns:a="http://schemas.openxmlformats.org/drawingml/2006/main" noChangeArrowheads="1"/>
        </cdr:cNvSpPr>
      </cdr:nvSpPr>
      <cdr:spPr bwMode="auto">
        <a:xfrm xmlns:a="http://schemas.openxmlformats.org/drawingml/2006/main">
          <a:off x="6113829" y="2316819"/>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0.91114</cdr:x>
      <cdr:y>0.68266</cdr:y>
    </cdr:from>
    <cdr:to>
      <cdr:x>0.91114</cdr:x>
      <cdr:y>0.68266</cdr:y>
    </cdr:to>
    <cdr:sp macro="" textlink="">
      <cdr:nvSpPr>
        <cdr:cNvPr id="2053" name="Text Box 5"/>
        <cdr:cNvSpPr txBox="1">
          <a:spLocks xmlns:a="http://schemas.openxmlformats.org/drawingml/2006/main" noChangeArrowheads="1"/>
        </cdr:cNvSpPr>
      </cdr:nvSpPr>
      <cdr:spPr bwMode="auto">
        <a:xfrm xmlns:a="http://schemas.openxmlformats.org/drawingml/2006/main">
          <a:off x="6168993" y="2642967"/>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0.91114</cdr:x>
      <cdr:y>0.74705</cdr:y>
    </cdr:from>
    <cdr:to>
      <cdr:x>0.91114</cdr:x>
      <cdr:y>0.74705</cdr:y>
    </cdr:to>
    <cdr:sp macro="" textlink="">
      <cdr:nvSpPr>
        <cdr:cNvPr id="2054" name="Text Box 6"/>
        <cdr:cNvSpPr txBox="1">
          <a:spLocks xmlns:a="http://schemas.openxmlformats.org/drawingml/2006/main" noChangeArrowheads="1"/>
        </cdr:cNvSpPr>
      </cdr:nvSpPr>
      <cdr:spPr bwMode="auto">
        <a:xfrm xmlns:a="http://schemas.openxmlformats.org/drawingml/2006/main">
          <a:off x="6168993" y="2888759"/>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a:lstStyle xmlns:a="http://schemas.openxmlformats.org/drawingml/2006/main"/>
        <a:p xmlns:a="http://schemas.openxmlformats.org/drawingml/2006/main">
          <a:endParaRPr lang="fr-F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0"/>
  <sheetViews>
    <sheetView showGridLines="0" tabSelected="1" zoomScale="107" workbookViewId="0">
      <selection activeCell="A10" sqref="A10"/>
    </sheetView>
  </sheetViews>
  <sheetFormatPr baseColWidth="10" defaultRowHeight="12.75" x14ac:dyDescent="0.2"/>
  <sheetData>
    <row r="2" spans="1:10" ht="15.75" x14ac:dyDescent="0.25">
      <c r="A2" s="154" t="s">
        <v>174</v>
      </c>
    </row>
    <row r="4" spans="1:10" ht="20.25" customHeight="1" x14ac:dyDescent="0.2">
      <c r="A4" s="71" t="str">
        <f>'Tableau 1'!$A$1</f>
        <v>Tableau 1 - Nombre d'étudiants inscrits dans l'enseignement supérieur en fonction de la filière et du type d'établissement en 2022-2023  (en milliers)</v>
      </c>
      <c r="B4" s="72"/>
      <c r="C4" s="72"/>
      <c r="D4" s="72"/>
      <c r="E4" s="72"/>
      <c r="F4" s="72"/>
      <c r="G4" s="72"/>
      <c r="H4" s="72"/>
      <c r="I4" s="72"/>
      <c r="J4" s="72"/>
    </row>
    <row r="5" spans="1:10" ht="24.75" customHeight="1" x14ac:dyDescent="0.2">
      <c r="A5" s="70" t="str">
        <f>'Tableau 2'!$A$1</f>
        <v>Tableau 2 - Évolution du nombre d'étudiants bénéficiant d'une aide financière</v>
      </c>
      <c r="B5" s="72"/>
      <c r="C5" s="72"/>
      <c r="D5" s="72"/>
      <c r="E5" s="72"/>
      <c r="F5" s="72"/>
      <c r="G5" s="72"/>
      <c r="H5" s="72"/>
      <c r="I5" s="72"/>
      <c r="J5" s="72"/>
    </row>
    <row r="6" spans="1:10" ht="29.25" customHeight="1" x14ac:dyDescent="0.2">
      <c r="A6" s="73" t="str">
        <f>'Tableau 3'!$A$1</f>
        <v>Tableau 3 - Répartition par académie des principales filières de l'enseignement supérieur en 2022-2023, évolution par rapport à 2021-2022</v>
      </c>
      <c r="B6" s="72"/>
      <c r="C6" s="72"/>
      <c r="D6" s="72"/>
      <c r="E6" s="72"/>
      <c r="F6" s="72"/>
      <c r="G6" s="72"/>
      <c r="H6" s="72"/>
      <c r="I6" s="72"/>
      <c r="J6" s="72"/>
    </row>
    <row r="7" spans="1:10" ht="24" customHeight="1" x14ac:dyDescent="0.2">
      <c r="A7" s="70" t="s">
        <v>151</v>
      </c>
      <c r="B7" s="70"/>
      <c r="C7" s="70"/>
      <c r="D7" s="72"/>
      <c r="E7" s="72"/>
      <c r="F7" s="72"/>
      <c r="G7" s="72"/>
      <c r="H7" s="72"/>
      <c r="I7" s="72"/>
      <c r="J7" s="72"/>
    </row>
    <row r="8" spans="1:10" ht="24" customHeight="1" x14ac:dyDescent="0.2">
      <c r="A8" s="74" t="str">
        <f>'Graphique 1'!$A$1</f>
        <v>Graphique 1 - Évolution des effectifs de l'enseignement supérieur et de l'université (en milliers)</v>
      </c>
      <c r="B8" s="70"/>
      <c r="C8" s="70"/>
      <c r="D8" s="72"/>
      <c r="E8" s="72"/>
      <c r="F8" s="72"/>
      <c r="G8" s="72"/>
      <c r="H8" s="72"/>
      <c r="I8" s="72"/>
      <c r="J8" s="72"/>
    </row>
    <row r="9" spans="1:10" ht="24" customHeight="1" x14ac:dyDescent="0.2">
      <c r="A9" s="74" t="s">
        <v>347</v>
      </c>
      <c r="B9" s="70"/>
      <c r="C9" s="70"/>
      <c r="D9" s="72"/>
      <c r="E9" s="72"/>
      <c r="F9" s="72"/>
      <c r="G9" s="72"/>
      <c r="H9" s="72"/>
      <c r="I9" s="72"/>
      <c r="J9" s="72"/>
    </row>
    <row r="10" spans="1:10" ht="24" customHeight="1" x14ac:dyDescent="0.2">
      <c r="A10" s="74" t="str">
        <f>'Graphique 3'!$A$1</f>
        <v>Graphique 3 - Évolution des effectifs d'inscrits dans l'enseignement supérieur, selon le secteur et la tutelle depuis 2010</v>
      </c>
      <c r="B10" s="70"/>
      <c r="C10" s="70"/>
      <c r="D10" s="72"/>
      <c r="E10" s="72"/>
      <c r="F10" s="72"/>
      <c r="G10" s="72"/>
      <c r="H10" s="72"/>
      <c r="I10" s="72"/>
      <c r="J10" s="72"/>
    </row>
    <row r="11" spans="1:10" ht="25.5" customHeight="1" x14ac:dyDescent="0.2">
      <c r="A11" s="74" t="str">
        <f>'Graphique 4'!$A$1</f>
        <v xml:space="preserve">Graphique 4 - Évolution des effectifs d'inscrits dans l'enseignement supérieur, selon le secteur et la tutelle depuis 2010, base 100 en 2010 </v>
      </c>
      <c r="B11" s="72"/>
      <c r="C11" s="72"/>
      <c r="D11" s="72"/>
      <c r="E11" s="72"/>
      <c r="F11" s="72"/>
      <c r="G11" s="72"/>
      <c r="H11" s="72"/>
      <c r="I11" s="72"/>
      <c r="J11" s="72"/>
    </row>
    <row r="12" spans="1:10" ht="26.25" customHeight="1" x14ac:dyDescent="0.2">
      <c r="A12" s="70" t="str">
        <f>'Graphique 5'!$A$1</f>
        <v>Graphique 5 - Part des femmes dans les différentes formations d'enseignement supérieur (en %)</v>
      </c>
      <c r="B12" s="72"/>
      <c r="C12" s="72"/>
      <c r="D12" s="72"/>
      <c r="E12" s="72"/>
      <c r="F12" s="72"/>
      <c r="G12" s="72"/>
      <c r="H12" s="72"/>
      <c r="I12" s="72"/>
      <c r="J12" s="72"/>
    </row>
    <row r="13" spans="1:10" ht="21" customHeight="1" x14ac:dyDescent="0.2">
      <c r="A13" s="70" t="str">
        <f>'Graphique 6'!$A$1</f>
        <v>Graphique 6 - Origine sociale* des étudiants français en 2022-2023 (en %)</v>
      </c>
      <c r="B13" s="72"/>
      <c r="C13" s="72"/>
      <c r="D13" s="72"/>
      <c r="E13" s="72"/>
      <c r="F13" s="72"/>
      <c r="G13" s="72"/>
      <c r="H13" s="72"/>
      <c r="I13" s="72"/>
      <c r="J13" s="72"/>
    </row>
    <row r="14" spans="1:10" ht="22.5" customHeight="1" x14ac:dyDescent="0.2">
      <c r="A14" s="70" t="str">
        <f>'Graphique 7'!$A$1</f>
        <v>Graphique 7 - Évolution des effectifs étudiants français et étrangers en mobilité internationale depuis 2012 (base 100)</v>
      </c>
      <c r="B14" s="72"/>
      <c r="C14" s="72"/>
      <c r="D14" s="72"/>
      <c r="E14" s="72"/>
      <c r="F14" s="72"/>
      <c r="G14" s="72"/>
      <c r="H14" s="72"/>
      <c r="I14" s="72"/>
      <c r="J14" s="72"/>
    </row>
    <row r="15" spans="1:10" ht="22.5" customHeight="1" x14ac:dyDescent="0.2">
      <c r="A15" s="70" t="str">
        <f>'Graphique 8'!$A$1</f>
        <v>Graphique 8 - Évolution de la proportion d'étudiants étrangers en mobilité internationale  dans les principales formations de l'enseignement supérieur</v>
      </c>
      <c r="B15" s="72"/>
      <c r="C15" s="72"/>
      <c r="D15" s="72"/>
      <c r="E15" s="72"/>
      <c r="F15" s="72"/>
      <c r="G15" s="72"/>
      <c r="H15" s="72"/>
      <c r="I15" s="72"/>
      <c r="J15" s="72"/>
    </row>
    <row r="16" spans="1:10" ht="22.5" customHeight="1" x14ac:dyDescent="0.2">
      <c r="A16" s="70" t="str">
        <f>'Annexe 1'!A1</f>
        <v>Annexe 1 - Évolution des effectifs de l'enseignement supérieur (en milliers)</v>
      </c>
      <c r="B16" s="72"/>
      <c r="C16" s="72"/>
      <c r="D16" s="72"/>
      <c r="E16" s="72"/>
      <c r="F16" s="72"/>
      <c r="G16" s="72"/>
      <c r="H16" s="72"/>
      <c r="I16" s="72"/>
      <c r="J16" s="72"/>
    </row>
    <row r="17" spans="1:10" ht="22.5" customHeight="1" x14ac:dyDescent="0.2">
      <c r="A17" s="70" t="str">
        <f>'Annexe 2'!A1</f>
        <v>Annexe 2 - Répartition des effectifs des universités françaises selon le cursus et la discipline en 2022 - 2023, périmètre historique (1)</v>
      </c>
      <c r="B17" s="72"/>
      <c r="C17" s="72"/>
      <c r="D17" s="72"/>
      <c r="E17" s="72"/>
      <c r="F17" s="72"/>
      <c r="G17" s="72"/>
      <c r="H17" s="72"/>
      <c r="I17" s="72"/>
      <c r="J17" s="72"/>
    </row>
    <row r="18" spans="1:10" ht="22.5" customHeight="1" x14ac:dyDescent="0.2">
      <c r="A18" s="70" t="str">
        <f>'Annexe 3'!A1</f>
        <v>Annexe 3 -Évolution des étudiants étrangers en mobilité internationale par continent de provenance de 2014 à 2022</v>
      </c>
      <c r="B18" s="72"/>
      <c r="C18" s="72"/>
      <c r="D18" s="72"/>
      <c r="E18" s="72"/>
      <c r="F18" s="72"/>
      <c r="G18" s="72"/>
      <c r="H18" s="72"/>
      <c r="I18" s="72"/>
      <c r="J18" s="72"/>
    </row>
    <row r="19" spans="1:10" ht="22.5" customHeight="1" x14ac:dyDescent="0.2">
      <c r="A19" s="70" t="str">
        <f>'Annexe 4'!A1</f>
        <v>Annexe 4 - Répartition des étudiants étrangers dans l'enseignement supérieur par nationalité en 2022-2023</v>
      </c>
      <c r="B19" s="72"/>
      <c r="C19" s="72"/>
      <c r="D19" s="72"/>
      <c r="E19" s="72"/>
      <c r="F19" s="72"/>
      <c r="G19" s="72"/>
      <c r="H19" s="72"/>
      <c r="I19" s="72"/>
      <c r="J19" s="72"/>
    </row>
    <row r="20" spans="1:10" ht="22.5" customHeight="1" x14ac:dyDescent="0.2">
      <c r="A20" s="70"/>
      <c r="B20" s="72"/>
      <c r="C20" s="72"/>
      <c r="D20" s="72"/>
      <c r="E20" s="72"/>
      <c r="F20" s="72"/>
      <c r="G20" s="72"/>
      <c r="H20" s="72"/>
      <c r="I20" s="72"/>
      <c r="J20" s="72"/>
    </row>
  </sheetData>
  <hyperlinks>
    <hyperlink ref="A5" location="'Tableau 2'!A1" display="'Tableau 2'!A1"/>
    <hyperlink ref="A6" location="'Tableau 3'!A1" display="'Tableau 3'!A1"/>
    <hyperlink ref="A7:C7" location="Cartes!A1" display="Cartes"/>
    <hyperlink ref="A11" location="'Graphique 3'!A1" display="'Graphique 3'!A1"/>
    <hyperlink ref="A12" location="'Graphique 4'!A1" display="'Graphique 4'!A1"/>
    <hyperlink ref="A13" location="'Graphique 5'!A1" display="'Graphique 5'!A1"/>
    <hyperlink ref="A14" location="'Graphique 6'!A1" display="'Graphique 6'!A1"/>
    <hyperlink ref="A15" location="'Graphique 7'!A1" display="'Graphique 7'!A1"/>
    <hyperlink ref="A17" location="'Annexe 2'!A1" display="'Annexe 2'!A1"/>
    <hyperlink ref="A18" location="'Annexe 3'!A1" display="'Annexe 3'!A1"/>
    <hyperlink ref="A4" location="'Tableau 1'!A1" display="'Tableau 1'!A1"/>
    <hyperlink ref="A7" location="Cartes!A1" display="Cartes"/>
    <hyperlink ref="A8" location="'Graphique 1'!A1" display="'Graphique 1'!A1"/>
    <hyperlink ref="A9" location="'Graphique 2'!A1" display=" Graphique 2 - Évolution des effectifs de l'enseignement supérieur, détail des disciplines (en milliers)"/>
    <hyperlink ref="A16" location="'Annexe 1'!A1" display="'Annexe 1'!A1"/>
    <hyperlink ref="A19" location="'Annexe 4'!A1" display="'Annexe 4'!A1"/>
    <hyperlink ref="A10" location="'Graphique 3'!A1" display="'Graphique 3'!A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K59"/>
  <sheetViews>
    <sheetView showGridLines="0" topLeftCell="A31" zoomScaleNormal="100" zoomScaleSheetLayoutView="100" workbookViewId="0">
      <selection activeCell="E14" sqref="E14"/>
    </sheetView>
  </sheetViews>
  <sheetFormatPr baseColWidth="10" defaultRowHeight="12.75" x14ac:dyDescent="0.2"/>
  <cols>
    <col min="1" max="1" width="53.85546875" style="7" customWidth="1"/>
    <col min="2" max="6" width="11.42578125" style="7"/>
    <col min="7" max="7" width="27.28515625" style="7" customWidth="1"/>
    <col min="8" max="8" width="11.42578125" style="7"/>
    <col min="9" max="9" width="14.42578125" style="7" bestFit="1" customWidth="1"/>
    <col min="10" max="11" width="11.85546875" style="7" bestFit="1" customWidth="1"/>
    <col min="12" max="16384" width="11.42578125" style="7"/>
  </cols>
  <sheetData>
    <row r="1" spans="1:11" ht="15.75" x14ac:dyDescent="0.2">
      <c r="A1" s="52" t="s">
        <v>339</v>
      </c>
      <c r="B1" s="157"/>
      <c r="C1" s="157"/>
      <c r="D1" s="157"/>
    </row>
    <row r="2" spans="1:11" x14ac:dyDescent="0.2">
      <c r="A2" s="364" t="s">
        <v>282</v>
      </c>
      <c r="B2" s="157"/>
      <c r="C2" s="157"/>
      <c r="D2" s="157"/>
    </row>
    <row r="3" spans="1:11" x14ac:dyDescent="0.2">
      <c r="A3" s="273"/>
      <c r="B3" s="14" t="s">
        <v>72</v>
      </c>
      <c r="C3" s="15" t="s">
        <v>292</v>
      </c>
      <c r="D3" s="157"/>
    </row>
    <row r="4" spans="1:11" x14ac:dyDescent="0.2">
      <c r="A4" s="284" t="s">
        <v>79</v>
      </c>
      <c r="B4" s="285">
        <v>26.979856769183801</v>
      </c>
      <c r="C4" s="286">
        <v>29.5775837792171</v>
      </c>
      <c r="D4" s="265"/>
    </row>
    <row r="5" spans="1:11" x14ac:dyDescent="0.2">
      <c r="A5" s="287" t="s">
        <v>327</v>
      </c>
      <c r="B5" s="285">
        <v>39.660960785510603</v>
      </c>
      <c r="C5" s="286">
        <v>39.583799507719803</v>
      </c>
      <c r="D5" s="265"/>
    </row>
    <row r="6" spans="1:11" x14ac:dyDescent="0.2">
      <c r="A6" s="287" t="s">
        <v>49</v>
      </c>
      <c r="B6" s="285">
        <v>42.067623449282401</v>
      </c>
      <c r="C6" s="286">
        <v>40.947957222413898</v>
      </c>
      <c r="D6" s="265"/>
      <c r="F6" s="7" t="s">
        <v>111</v>
      </c>
    </row>
    <row r="7" spans="1:11" x14ac:dyDescent="0.2">
      <c r="A7" s="284" t="s">
        <v>102</v>
      </c>
      <c r="B7" s="285">
        <v>37.384103832142102</v>
      </c>
      <c r="C7" s="286">
        <v>43.266520287718301</v>
      </c>
      <c r="D7" s="265"/>
    </row>
    <row r="8" spans="1:11" x14ac:dyDescent="0.2">
      <c r="A8" s="284" t="s">
        <v>218</v>
      </c>
      <c r="B8" s="285">
        <v>36.578218847641999</v>
      </c>
      <c r="C8" s="286">
        <v>43.810992991046</v>
      </c>
      <c r="D8" s="265"/>
    </row>
    <row r="9" spans="1:11" x14ac:dyDescent="0.2">
      <c r="A9" s="284" t="s">
        <v>214</v>
      </c>
      <c r="B9" s="285">
        <v>50.890911169003097</v>
      </c>
      <c r="C9" s="286">
        <v>47.544661477198403</v>
      </c>
      <c r="D9" s="265"/>
    </row>
    <row r="10" spans="1:11" x14ac:dyDescent="0.2">
      <c r="A10" s="284" t="s">
        <v>54</v>
      </c>
      <c r="B10" s="285">
        <v>49.092282685835897</v>
      </c>
      <c r="C10" s="286">
        <v>51.7967043064546</v>
      </c>
      <c r="D10" s="265"/>
    </row>
    <row r="11" spans="1:11" x14ac:dyDescent="0.2">
      <c r="A11" s="288" t="s">
        <v>230</v>
      </c>
      <c r="B11" s="285">
        <v>54.868219954550199</v>
      </c>
      <c r="C11" s="286">
        <v>55.776808956640501</v>
      </c>
      <c r="D11" s="265"/>
    </row>
    <row r="12" spans="1:11" x14ac:dyDescent="0.2">
      <c r="A12" s="287" t="s">
        <v>328</v>
      </c>
      <c r="B12" s="285">
        <v>58.449789892722201</v>
      </c>
      <c r="C12" s="286">
        <v>60.738978888713703</v>
      </c>
      <c r="D12" s="265"/>
      <c r="I12" s="69"/>
      <c r="J12" s="69"/>
      <c r="K12" s="69"/>
    </row>
    <row r="13" spans="1:11" x14ac:dyDescent="0.2">
      <c r="A13" s="287" t="s">
        <v>103</v>
      </c>
      <c r="B13" s="285">
        <v>59.170476628100701</v>
      </c>
      <c r="C13" s="286">
        <v>62.7936006259362</v>
      </c>
      <c r="D13" s="265"/>
      <c r="I13" s="69"/>
      <c r="J13" s="69"/>
      <c r="K13" s="69"/>
    </row>
    <row r="14" spans="1:11" x14ac:dyDescent="0.2">
      <c r="A14" s="287" t="s">
        <v>104</v>
      </c>
      <c r="B14" s="285">
        <v>63.039387142151099</v>
      </c>
      <c r="C14" s="286">
        <v>66.512221476181793</v>
      </c>
      <c r="D14" s="265"/>
      <c r="I14" s="69"/>
      <c r="J14" s="69"/>
      <c r="K14" s="69"/>
    </row>
    <row r="15" spans="1:11" x14ac:dyDescent="0.2">
      <c r="A15" s="287" t="s">
        <v>118</v>
      </c>
      <c r="B15" s="285">
        <v>69.988249553575599</v>
      </c>
      <c r="C15" s="286">
        <v>70.5856604743432</v>
      </c>
      <c r="D15" s="265"/>
    </row>
    <row r="16" spans="1:11" ht="13.5" thickBot="1" x14ac:dyDescent="0.25">
      <c r="A16" s="289" t="s">
        <v>231</v>
      </c>
      <c r="B16" s="290">
        <v>84.026780005265707</v>
      </c>
      <c r="C16" s="291">
        <v>84.269183282107903</v>
      </c>
      <c r="D16" s="265"/>
    </row>
    <row r="17" spans="1:4" x14ac:dyDescent="0.2">
      <c r="A17" s="292" t="s">
        <v>293</v>
      </c>
      <c r="B17" s="157"/>
      <c r="C17" s="157"/>
      <c r="D17" s="157"/>
    </row>
    <row r="18" spans="1:4" x14ac:dyDescent="0.2">
      <c r="A18" s="292" t="s">
        <v>232</v>
      </c>
      <c r="B18" s="157"/>
      <c r="C18" s="157"/>
      <c r="D18" s="157"/>
    </row>
    <row r="19" spans="1:4" x14ac:dyDescent="0.2">
      <c r="A19" s="317" t="s">
        <v>326</v>
      </c>
      <c r="B19" s="157"/>
      <c r="C19" s="157"/>
      <c r="D19" s="318"/>
    </row>
    <row r="20" spans="1:4" ht="45.75" customHeight="1" x14ac:dyDescent="0.2">
      <c r="A20" s="422" t="s">
        <v>284</v>
      </c>
      <c r="B20" s="422"/>
      <c r="C20" s="422"/>
      <c r="D20" s="422"/>
    </row>
    <row r="21" spans="1:4" ht="15.75" x14ac:dyDescent="0.2">
      <c r="A21" s="13" t="s">
        <v>340</v>
      </c>
    </row>
    <row r="42" spans="1:7" x14ac:dyDescent="0.2">
      <c r="E42" s="17"/>
      <c r="F42" s="17"/>
      <c r="G42" s="17"/>
    </row>
    <row r="48" spans="1:7" x14ac:dyDescent="0.2">
      <c r="A48" s="16"/>
    </row>
    <row r="49" spans="1:9" x14ac:dyDescent="0.2">
      <c r="A49" s="11"/>
    </row>
    <row r="55" spans="1:9" x14ac:dyDescent="0.2">
      <c r="A55" s="17"/>
      <c r="B55" s="17"/>
      <c r="C55" s="17"/>
    </row>
    <row r="56" spans="1:9" x14ac:dyDescent="0.2">
      <c r="A56" s="292" t="s">
        <v>293</v>
      </c>
    </row>
    <row r="57" spans="1:9" x14ac:dyDescent="0.2">
      <c r="A57" s="292" t="s">
        <v>232</v>
      </c>
    </row>
    <row r="58" spans="1:9" ht="14.25" customHeight="1" x14ac:dyDescent="0.2">
      <c r="A58" s="180" t="s">
        <v>326</v>
      </c>
      <c r="B58" s="179"/>
      <c r="C58" s="179"/>
      <c r="D58" s="181"/>
    </row>
    <row r="59" spans="1:9" ht="45.75" customHeight="1" x14ac:dyDescent="0.2">
      <c r="A59" s="415" t="s">
        <v>284</v>
      </c>
      <c r="B59" s="415"/>
      <c r="C59" s="415"/>
      <c r="D59" s="415"/>
      <c r="E59" s="101"/>
      <c r="F59" s="101"/>
      <c r="G59" s="101"/>
      <c r="H59" s="101"/>
      <c r="I59" s="101"/>
    </row>
  </sheetData>
  <mergeCells count="2">
    <mergeCell ref="A59:D59"/>
    <mergeCell ref="A20:D20"/>
  </mergeCells>
  <hyperlinks>
    <hyperlink ref="A2" location="Sommaire!A2" display="Retour au sommaire"/>
  </hyperlinks>
  <pageMargins left="0.78740157499999996" right="0.78740157499999996" top="0.4" bottom="0.984251969" header="0.31" footer="0.4921259845"/>
  <pageSetup paperSize="9" scale="81" orientation="landscape" r:id="rId1"/>
  <headerFooter alignWithMargins="0"/>
  <rowBreaks count="1" manualBreakCount="1">
    <brk id="21"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L71"/>
  <sheetViews>
    <sheetView showGridLines="0" topLeftCell="A31" workbookViewId="0">
      <selection activeCell="B2" sqref="B2"/>
    </sheetView>
  </sheetViews>
  <sheetFormatPr baseColWidth="10" defaultRowHeight="12.75" x14ac:dyDescent="0.2"/>
  <cols>
    <col min="1" max="1" width="11.28515625" style="157" customWidth="1"/>
    <col min="2" max="2" width="33.5703125" style="157" customWidth="1"/>
    <col min="3" max="3" width="11.42578125" style="157"/>
    <col min="4" max="4" width="12.7109375" style="157" customWidth="1"/>
    <col min="5" max="5" width="12.42578125" style="157" customWidth="1"/>
    <col min="6" max="10" width="11.42578125" style="157"/>
    <col min="11" max="11" width="20.85546875" style="157" customWidth="1"/>
    <col min="12" max="12" width="13.5703125" style="157" bestFit="1" customWidth="1"/>
    <col min="13" max="16384" width="11.42578125" style="157"/>
  </cols>
  <sheetData>
    <row r="1" spans="1:10" ht="24" customHeight="1" x14ac:dyDescent="0.2">
      <c r="A1" s="52" t="s">
        <v>338</v>
      </c>
    </row>
    <row r="2" spans="1:10" ht="24" customHeight="1" thickBot="1" x14ac:dyDescent="0.25">
      <c r="A2" s="364" t="s">
        <v>282</v>
      </c>
    </row>
    <row r="3" spans="1:10" ht="73.5" customHeight="1" x14ac:dyDescent="0.2">
      <c r="A3" s="217"/>
      <c r="B3" s="218"/>
      <c r="C3" s="219" t="s">
        <v>99</v>
      </c>
      <c r="D3" s="219" t="s">
        <v>98</v>
      </c>
      <c r="E3" s="219" t="s">
        <v>97</v>
      </c>
      <c r="F3" s="219" t="s">
        <v>96</v>
      </c>
      <c r="G3" s="219" t="s">
        <v>95</v>
      </c>
      <c r="H3" s="219" t="s">
        <v>94</v>
      </c>
      <c r="I3" s="219" t="s">
        <v>9</v>
      </c>
      <c r="J3" s="220" t="s">
        <v>101</v>
      </c>
    </row>
    <row r="4" spans="1:10" ht="12.75" customHeight="1" x14ac:dyDescent="0.2">
      <c r="A4" s="221"/>
      <c r="B4" s="222" t="s">
        <v>8</v>
      </c>
      <c r="C4" s="223">
        <v>10.168293</v>
      </c>
      <c r="D4" s="223">
        <v>34.447141999999999</v>
      </c>
      <c r="E4" s="223">
        <v>13.848564</v>
      </c>
      <c r="F4" s="223">
        <v>17.058544000000001</v>
      </c>
      <c r="G4" s="223">
        <v>11.547071000000001</v>
      </c>
      <c r="H4" s="223">
        <v>12.930387</v>
      </c>
      <c r="I4" s="224">
        <v>99.999999999999986</v>
      </c>
      <c r="J4" s="225">
        <v>16.150535999999999</v>
      </c>
    </row>
    <row r="5" spans="1:10" ht="12.75" customHeight="1" x14ac:dyDescent="0.2">
      <c r="A5" s="226"/>
      <c r="B5" s="227"/>
      <c r="C5" s="228"/>
      <c r="D5" s="228"/>
      <c r="E5" s="228"/>
      <c r="F5" s="228"/>
      <c r="G5" s="228"/>
      <c r="H5" s="228"/>
      <c r="I5" s="228"/>
      <c r="J5" s="229"/>
    </row>
    <row r="6" spans="1:10" x14ac:dyDescent="0.2">
      <c r="A6" s="231"/>
      <c r="B6" s="232" t="s">
        <v>214</v>
      </c>
      <c r="C6" s="233">
        <v>11.436579</v>
      </c>
      <c r="D6" s="233">
        <v>15.718711000000001</v>
      </c>
      <c r="E6" s="233">
        <v>14.559143000000001</v>
      </c>
      <c r="F6" s="233">
        <v>19.662087</v>
      </c>
      <c r="G6" s="233">
        <v>22.037068000000001</v>
      </c>
      <c r="H6" s="233">
        <v>16.586411999999999</v>
      </c>
      <c r="I6" s="234">
        <v>100</v>
      </c>
      <c r="J6" s="319">
        <v>9.3647340000000003</v>
      </c>
    </row>
    <row r="7" spans="1:10" x14ac:dyDescent="0.2">
      <c r="A7" s="236"/>
      <c r="B7" s="237" t="s">
        <v>318</v>
      </c>
      <c r="C7" s="238">
        <v>15.137756</v>
      </c>
      <c r="D7" s="238">
        <v>23.356164</v>
      </c>
      <c r="E7" s="238">
        <v>9.2758199999999995</v>
      </c>
      <c r="F7" s="238">
        <v>31.553024000000001</v>
      </c>
      <c r="G7" s="238">
        <v>18.750191999999998</v>
      </c>
      <c r="H7" s="238">
        <v>1.9270430000000001</v>
      </c>
      <c r="I7" s="228">
        <v>99.999999999999986</v>
      </c>
      <c r="J7" s="246">
        <v>13.160867</v>
      </c>
    </row>
    <row r="8" spans="1:10" x14ac:dyDescent="0.2">
      <c r="A8" s="226"/>
      <c r="B8" s="240"/>
      <c r="C8" s="320"/>
      <c r="D8" s="240"/>
      <c r="E8" s="240"/>
      <c r="F8" s="240"/>
      <c r="G8" s="240"/>
      <c r="H8" s="240"/>
      <c r="I8" s="241"/>
      <c r="J8" s="242"/>
    </row>
    <row r="9" spans="1:10" x14ac:dyDescent="0.2">
      <c r="A9" s="423" t="s">
        <v>77</v>
      </c>
      <c r="B9" s="243" t="s">
        <v>100</v>
      </c>
      <c r="C9" s="321">
        <v>8.6611919999999998</v>
      </c>
      <c r="D9" s="244">
        <v>33.754316000000003</v>
      </c>
      <c r="E9" s="244">
        <v>15.468391</v>
      </c>
      <c r="F9" s="244">
        <v>17.649635</v>
      </c>
      <c r="G9" s="244">
        <v>9.9635599999999993</v>
      </c>
      <c r="H9" s="244">
        <v>14.502907</v>
      </c>
      <c r="I9" s="244">
        <v>100.00000000000001</v>
      </c>
      <c r="J9" s="235">
        <v>7.7053070000000004</v>
      </c>
    </row>
    <row r="10" spans="1:10" x14ac:dyDescent="0.2">
      <c r="A10" s="424"/>
      <c r="B10" s="245" t="s">
        <v>90</v>
      </c>
      <c r="C10" s="322">
        <v>8.2990809999999993</v>
      </c>
      <c r="D10" s="233">
        <v>31.104655999999999</v>
      </c>
      <c r="E10" s="233">
        <v>19.541111999999998</v>
      </c>
      <c r="F10" s="233">
        <v>21.26925</v>
      </c>
      <c r="G10" s="233">
        <v>11.114155999999999</v>
      </c>
      <c r="H10" s="233">
        <v>8.6717449999999996</v>
      </c>
      <c r="I10" s="156">
        <v>100</v>
      </c>
      <c r="J10" s="239">
        <v>3.5145849999999998</v>
      </c>
    </row>
    <row r="11" spans="1:10" x14ac:dyDescent="0.2">
      <c r="A11" s="424"/>
      <c r="B11" s="245" t="s">
        <v>91</v>
      </c>
      <c r="C11" s="322">
        <v>7.5032259999999997</v>
      </c>
      <c r="D11" s="233">
        <v>27.317509000000001</v>
      </c>
      <c r="E11" s="248">
        <v>16.153943999999999</v>
      </c>
      <c r="F11" s="248">
        <v>19.931394999999998</v>
      </c>
      <c r="G11" s="233">
        <v>10.895064</v>
      </c>
      <c r="H11" s="233">
        <v>18.198861999999998</v>
      </c>
      <c r="I11" s="247">
        <v>100</v>
      </c>
      <c r="J11" s="239">
        <v>8.2251589999999997</v>
      </c>
    </row>
    <row r="12" spans="1:10" x14ac:dyDescent="0.2">
      <c r="A12" s="424"/>
      <c r="B12" s="245" t="s">
        <v>92</v>
      </c>
      <c r="C12" s="322">
        <v>10.248787</v>
      </c>
      <c r="D12" s="233">
        <v>28.874486000000001</v>
      </c>
      <c r="E12" s="233">
        <v>13.601364</v>
      </c>
      <c r="F12" s="233">
        <v>18.804404000000002</v>
      </c>
      <c r="G12" s="233">
        <v>12.466544000000001</v>
      </c>
      <c r="H12" s="233">
        <v>16.004414000000001</v>
      </c>
      <c r="I12" s="247">
        <v>100</v>
      </c>
      <c r="J12" s="239">
        <v>9.6019419999999993</v>
      </c>
    </row>
    <row r="13" spans="1:10" x14ac:dyDescent="0.2">
      <c r="A13" s="424"/>
      <c r="B13" s="245" t="s">
        <v>327</v>
      </c>
      <c r="C13" s="322">
        <v>9.5595660000000002</v>
      </c>
      <c r="D13" s="248">
        <v>30.623365</v>
      </c>
      <c r="E13" s="233">
        <v>18.776136999999999</v>
      </c>
      <c r="F13" s="233">
        <v>20.367508999999998</v>
      </c>
      <c r="G13" s="248">
        <v>12.018211000000001</v>
      </c>
      <c r="H13" s="248">
        <v>8.6552129999999998</v>
      </c>
      <c r="I13" s="247">
        <v>100.00000000000001</v>
      </c>
      <c r="J13" s="239">
        <v>3.3383449999999999</v>
      </c>
    </row>
    <row r="14" spans="1:10" x14ac:dyDescent="0.2">
      <c r="A14" s="424"/>
      <c r="B14" s="249" t="s">
        <v>88</v>
      </c>
      <c r="C14" s="322">
        <v>8.6453779999999991</v>
      </c>
      <c r="D14" s="233">
        <v>34.138157999999997</v>
      </c>
      <c r="E14" s="248">
        <v>16.033092</v>
      </c>
      <c r="F14" s="248">
        <v>17.099035000000001</v>
      </c>
      <c r="G14" s="233">
        <v>10.466219000000001</v>
      </c>
      <c r="H14" s="233">
        <v>13.618118000000001</v>
      </c>
      <c r="I14" s="247">
        <v>100</v>
      </c>
      <c r="J14" s="239">
        <v>7.0113370000000002</v>
      </c>
    </row>
    <row r="15" spans="1:10" x14ac:dyDescent="0.2">
      <c r="A15" s="424"/>
      <c r="B15" s="245" t="s">
        <v>93</v>
      </c>
      <c r="C15" s="322">
        <v>9.8362079999999992</v>
      </c>
      <c r="D15" s="233">
        <v>37.043528000000002</v>
      </c>
      <c r="E15" s="233">
        <v>13.787001</v>
      </c>
      <c r="F15" s="233">
        <v>17.419694</v>
      </c>
      <c r="G15" s="233">
        <v>8.5730649999999997</v>
      </c>
      <c r="H15" s="233">
        <v>13.340505</v>
      </c>
      <c r="I15" s="247">
        <v>100</v>
      </c>
      <c r="J15" s="239">
        <v>5.811407</v>
      </c>
    </row>
    <row r="16" spans="1:10" x14ac:dyDescent="0.2">
      <c r="A16" s="424"/>
      <c r="B16" s="249" t="s">
        <v>316</v>
      </c>
      <c r="C16" s="322">
        <v>8.401116</v>
      </c>
      <c r="D16" s="233">
        <v>45.384886999999999</v>
      </c>
      <c r="E16" s="233">
        <v>16.346418</v>
      </c>
      <c r="F16" s="233">
        <v>13.226452999999999</v>
      </c>
      <c r="G16" s="233">
        <v>7.7606190000000002</v>
      </c>
      <c r="H16" s="233">
        <v>8.8805060000000005</v>
      </c>
      <c r="I16" s="247">
        <v>100</v>
      </c>
      <c r="J16" s="239">
        <v>3.900763</v>
      </c>
    </row>
    <row r="17" spans="1:12" x14ac:dyDescent="0.2">
      <c r="A17" s="425"/>
      <c r="B17" s="250" t="s">
        <v>89</v>
      </c>
      <c r="C17" s="322">
        <v>8.6173830000000002</v>
      </c>
      <c r="D17" s="238">
        <v>48.217190000000002</v>
      </c>
      <c r="E17" s="238">
        <v>13.083100999999999</v>
      </c>
      <c r="F17" s="238">
        <v>10.811826</v>
      </c>
      <c r="G17" s="238">
        <v>5.8744690000000004</v>
      </c>
      <c r="H17" s="238">
        <v>13.396032</v>
      </c>
      <c r="I17" s="251">
        <v>100</v>
      </c>
      <c r="J17" s="239">
        <v>11.677209</v>
      </c>
    </row>
    <row r="18" spans="1:12" x14ac:dyDescent="0.2">
      <c r="A18" s="252"/>
      <c r="B18" s="250"/>
      <c r="C18" s="323"/>
      <c r="D18" s="253"/>
      <c r="E18" s="253"/>
      <c r="F18" s="253"/>
      <c r="G18" s="253"/>
      <c r="H18" s="253"/>
      <c r="I18" s="253"/>
      <c r="J18" s="254"/>
    </row>
    <row r="19" spans="1:12" x14ac:dyDescent="0.2">
      <c r="A19" s="226"/>
      <c r="B19" s="232" t="s">
        <v>87</v>
      </c>
      <c r="C19" s="233">
        <v>10.147822</v>
      </c>
      <c r="D19" s="233">
        <v>54.042644000000003</v>
      </c>
      <c r="E19" s="233">
        <v>12.560140000000001</v>
      </c>
      <c r="F19" s="233">
        <v>10.714715999999999</v>
      </c>
      <c r="G19" s="233">
        <v>6.482437</v>
      </c>
      <c r="H19" s="233">
        <v>6.0522400000000003</v>
      </c>
      <c r="I19" s="234">
        <v>100</v>
      </c>
      <c r="J19" s="239">
        <v>3.0973220000000001</v>
      </c>
    </row>
    <row r="20" spans="1:12" x14ac:dyDescent="0.2">
      <c r="A20" s="226"/>
      <c r="B20" s="232" t="s">
        <v>317</v>
      </c>
      <c r="C20" s="233">
        <v>11.170634</v>
      </c>
      <c r="D20" s="233">
        <v>56.107823000000003</v>
      </c>
      <c r="E20" s="233">
        <v>11.867308</v>
      </c>
      <c r="F20" s="233">
        <v>9.7364049999999995</v>
      </c>
      <c r="G20" s="233">
        <v>4.6646510000000001</v>
      </c>
      <c r="H20" s="233">
        <v>6.4531790000000004</v>
      </c>
      <c r="I20" s="234">
        <v>99.999999999999986</v>
      </c>
      <c r="J20" s="239">
        <v>7.775989</v>
      </c>
    </row>
    <row r="21" spans="1:12" ht="13.5" thickBot="1" x14ac:dyDescent="0.25">
      <c r="A21" s="255"/>
      <c r="B21" s="256" t="s">
        <v>86</v>
      </c>
      <c r="C21" s="257">
        <v>6.7334360000000002</v>
      </c>
      <c r="D21" s="257">
        <v>63.436055000000003</v>
      </c>
      <c r="E21" s="257">
        <v>10.493066000000001</v>
      </c>
      <c r="F21" s="257">
        <v>7.5654849999999998</v>
      </c>
      <c r="G21" s="257">
        <v>1.9568570000000001</v>
      </c>
      <c r="H21" s="257">
        <v>9.8150999999999993</v>
      </c>
      <c r="I21" s="258">
        <v>100</v>
      </c>
      <c r="J21" s="324">
        <v>4.8666080000000003</v>
      </c>
    </row>
    <row r="22" spans="1:12" x14ac:dyDescent="0.2">
      <c r="B22" s="259" t="s">
        <v>246</v>
      </c>
      <c r="C22" s="259"/>
      <c r="D22" s="259"/>
      <c r="E22" s="259"/>
      <c r="F22" s="259"/>
      <c r="G22" s="259"/>
    </row>
    <row r="23" spans="1:12" ht="12.75" customHeight="1" x14ac:dyDescent="0.2">
      <c r="B23" s="259" t="s">
        <v>313</v>
      </c>
      <c r="C23" s="259"/>
      <c r="D23" s="259"/>
      <c r="E23" s="259"/>
      <c r="F23" s="259"/>
      <c r="G23" s="259"/>
    </row>
    <row r="24" spans="1:12" x14ac:dyDescent="0.2">
      <c r="B24" s="259" t="s">
        <v>314</v>
      </c>
      <c r="C24" s="259"/>
      <c r="D24" s="259"/>
      <c r="E24" s="259"/>
      <c r="F24" s="259"/>
      <c r="G24" s="259"/>
    </row>
    <row r="25" spans="1:12" ht="12.75" customHeight="1" x14ac:dyDescent="0.2">
      <c r="B25" s="259" t="s">
        <v>315</v>
      </c>
      <c r="C25" s="259"/>
      <c r="D25" s="259"/>
      <c r="E25" s="259"/>
      <c r="F25" s="259"/>
      <c r="G25" s="259"/>
    </row>
    <row r="26" spans="1:12" x14ac:dyDescent="0.2">
      <c r="B26" s="260" t="s">
        <v>323</v>
      </c>
      <c r="C26" s="261"/>
      <c r="D26" s="261"/>
      <c r="E26" s="261"/>
      <c r="F26" s="261"/>
      <c r="G26" s="261"/>
      <c r="H26" s="261"/>
      <c r="I26" s="261"/>
      <c r="J26" s="261"/>
      <c r="K26" s="261"/>
      <c r="L26" s="261"/>
    </row>
    <row r="27" spans="1:12" ht="24" customHeight="1" x14ac:dyDescent="0.2">
      <c r="B27" s="415" t="s">
        <v>245</v>
      </c>
      <c r="C27" s="415"/>
      <c r="D27" s="415"/>
      <c r="E27" s="415"/>
      <c r="F27" s="415"/>
      <c r="G27" s="415"/>
      <c r="H27" s="415"/>
      <c r="I27" s="415"/>
      <c r="J27" s="415"/>
      <c r="K27" s="415"/>
      <c r="L27" s="415"/>
    </row>
    <row r="30" spans="1:12" ht="12.75" customHeight="1" x14ac:dyDescent="0.2"/>
    <row r="66" spans="2:12" x14ac:dyDescent="0.2">
      <c r="B66" s="259" t="s">
        <v>246</v>
      </c>
      <c r="C66" s="259"/>
      <c r="D66" s="259"/>
      <c r="E66" s="259"/>
      <c r="F66" s="259"/>
      <c r="G66" s="259"/>
    </row>
    <row r="67" spans="2:12" x14ac:dyDescent="0.2">
      <c r="B67" s="259" t="s">
        <v>313</v>
      </c>
      <c r="C67" s="259"/>
      <c r="D67" s="259"/>
      <c r="E67" s="259"/>
      <c r="F67" s="259"/>
      <c r="G67" s="259"/>
    </row>
    <row r="68" spans="2:12" x14ac:dyDescent="0.2">
      <c r="B68" s="259" t="s">
        <v>314</v>
      </c>
      <c r="C68" s="259"/>
      <c r="D68" s="259"/>
      <c r="E68" s="259"/>
      <c r="F68" s="259"/>
      <c r="G68" s="259"/>
    </row>
    <row r="69" spans="2:12" x14ac:dyDescent="0.2">
      <c r="B69" s="259" t="s">
        <v>315</v>
      </c>
      <c r="C69" s="259"/>
      <c r="D69" s="259"/>
      <c r="E69" s="259"/>
      <c r="F69" s="259"/>
      <c r="G69" s="259"/>
    </row>
    <row r="70" spans="2:12" x14ac:dyDescent="0.2">
      <c r="B70" s="260" t="s">
        <v>323</v>
      </c>
      <c r="C70" s="261"/>
      <c r="D70" s="261"/>
      <c r="E70" s="261"/>
      <c r="F70" s="261"/>
      <c r="G70" s="261"/>
      <c r="H70" s="261"/>
      <c r="I70" s="261"/>
      <c r="J70" s="261"/>
      <c r="K70" s="261"/>
      <c r="L70" s="261"/>
    </row>
    <row r="71" spans="2:12" ht="24" customHeight="1" x14ac:dyDescent="0.2">
      <c r="B71" s="415" t="s">
        <v>319</v>
      </c>
      <c r="C71" s="415"/>
      <c r="D71" s="415"/>
      <c r="E71" s="415"/>
      <c r="F71" s="415"/>
      <c r="G71" s="415"/>
      <c r="H71" s="415"/>
      <c r="I71" s="415"/>
      <c r="J71" s="415"/>
      <c r="K71" s="415"/>
      <c r="L71" s="415"/>
    </row>
  </sheetData>
  <mergeCells count="3">
    <mergeCell ref="A9:A17"/>
    <mergeCell ref="B71:L71"/>
    <mergeCell ref="B27:L27"/>
  </mergeCells>
  <hyperlinks>
    <hyperlink ref="A2" location="Sommaire!A2" display="Retour au sommaire"/>
  </hyperlinks>
  <pageMargins left="0.78740157499999996" right="0.78740157499999996" top="0.984251969" bottom="0.984251969" header="0.4921259845" footer="0.4921259845"/>
  <pageSetup paperSize="9" scale="95"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S51"/>
  <sheetViews>
    <sheetView showGridLines="0" topLeftCell="A19" zoomScale="90" zoomScaleNormal="90" workbookViewId="0">
      <selection activeCell="B11" sqref="B11"/>
    </sheetView>
  </sheetViews>
  <sheetFormatPr baseColWidth="10" defaultRowHeight="12.75" x14ac:dyDescent="0.2"/>
  <cols>
    <col min="1" max="1" width="11.28515625" style="157" customWidth="1"/>
    <col min="2" max="2" width="14.28515625" style="157" bestFit="1" customWidth="1"/>
    <col min="3" max="3" width="13.5703125" style="157" customWidth="1"/>
    <col min="4" max="4" width="14" style="157" customWidth="1"/>
    <col min="5" max="16384" width="11.42578125" style="157"/>
  </cols>
  <sheetData>
    <row r="1" spans="1:19" ht="19.5" customHeight="1" x14ac:dyDescent="0.2">
      <c r="A1" s="13" t="s">
        <v>337</v>
      </c>
    </row>
    <row r="2" spans="1:19" ht="19.5" customHeight="1" x14ac:dyDescent="0.2">
      <c r="A2" s="364" t="s">
        <v>282</v>
      </c>
    </row>
    <row r="3" spans="1:19" ht="37.5" customHeight="1" x14ac:dyDescent="0.2">
      <c r="A3" s="100" t="s">
        <v>76</v>
      </c>
      <c r="B3" s="100" t="s">
        <v>169</v>
      </c>
      <c r="C3" s="100" t="s">
        <v>167</v>
      </c>
      <c r="D3" s="100" t="s">
        <v>237</v>
      </c>
      <c r="E3" s="100" t="s">
        <v>170</v>
      </c>
      <c r="F3" s="100" t="s">
        <v>168</v>
      </c>
      <c r="G3" s="100" t="s">
        <v>237</v>
      </c>
      <c r="M3" s="263"/>
      <c r="N3" s="263"/>
      <c r="O3" s="263"/>
      <c r="P3" s="263"/>
      <c r="Q3" s="263"/>
      <c r="R3" s="263"/>
      <c r="S3" s="263"/>
    </row>
    <row r="4" spans="1:19" s="263" customFormat="1" ht="19.5" customHeight="1" x14ac:dyDescent="0.2">
      <c r="A4" s="205" t="s">
        <v>72</v>
      </c>
      <c r="B4" s="99">
        <f t="shared" ref="B4:B9" si="0">D4-C4</f>
        <v>2128604</v>
      </c>
      <c r="C4" s="99">
        <v>231200</v>
      </c>
      <c r="D4" s="99">
        <v>2359804</v>
      </c>
      <c r="E4" s="262">
        <v>100</v>
      </c>
      <c r="F4" s="262">
        <v>100</v>
      </c>
      <c r="G4" s="262">
        <v>100</v>
      </c>
    </row>
    <row r="5" spans="1:19" s="263" customFormat="1" ht="19.5" customHeight="1" x14ac:dyDescent="0.2">
      <c r="A5" s="205" t="s">
        <v>71</v>
      </c>
      <c r="B5" s="99">
        <f t="shared" si="0"/>
        <v>2176865</v>
      </c>
      <c r="C5" s="99">
        <v>235100</v>
      </c>
      <c r="D5" s="99">
        <v>2411965</v>
      </c>
      <c r="E5" s="262">
        <f>B5*E4/B4</f>
        <v>102.26726060836116</v>
      </c>
      <c r="F5" s="262">
        <f t="shared" ref="F5:G11" si="1">C5*F4/C4</f>
        <v>101.68685121107266</v>
      </c>
      <c r="G5" s="262">
        <f t="shared" si="1"/>
        <v>102.21039543962125</v>
      </c>
      <c r="M5" s="157"/>
      <c r="N5" s="157"/>
      <c r="O5" s="157"/>
      <c r="P5" s="157"/>
      <c r="Q5" s="157"/>
      <c r="R5" s="157"/>
      <c r="S5" s="157"/>
    </row>
    <row r="6" spans="1:19" s="263" customFormat="1" ht="19.5" customHeight="1" x14ac:dyDescent="0.2">
      <c r="A6" s="205" t="s">
        <v>70</v>
      </c>
      <c r="B6" s="99">
        <f t="shared" si="0"/>
        <v>2210983</v>
      </c>
      <c r="C6" s="99">
        <v>238200</v>
      </c>
      <c r="D6" s="99">
        <v>2449183</v>
      </c>
      <c r="E6" s="262">
        <f t="shared" ref="E6:E11" si="2">B6*E5/B5</f>
        <v>103.87009514216828</v>
      </c>
      <c r="F6" s="262">
        <f t="shared" si="1"/>
        <v>103.02768166089965</v>
      </c>
      <c r="G6" s="262">
        <f t="shared" si="1"/>
        <v>103.78756032280647</v>
      </c>
      <c r="I6" s="264"/>
      <c r="J6" s="264"/>
      <c r="M6" s="157"/>
      <c r="N6" s="157"/>
      <c r="O6" s="157"/>
      <c r="P6" s="157"/>
      <c r="Q6" s="157"/>
      <c r="R6" s="157"/>
      <c r="S6" s="157"/>
    </row>
    <row r="7" spans="1:19" s="263" customFormat="1" ht="19.5" customHeight="1" x14ac:dyDescent="0.2">
      <c r="A7" s="205" t="s">
        <v>69</v>
      </c>
      <c r="B7" s="99">
        <f t="shared" si="0"/>
        <v>2265701</v>
      </c>
      <c r="C7" s="99">
        <v>244100</v>
      </c>
      <c r="D7" s="99">
        <v>2509801</v>
      </c>
      <c r="E7" s="262">
        <f t="shared" si="2"/>
        <v>106.44070010203869</v>
      </c>
      <c r="F7" s="262">
        <f t="shared" si="1"/>
        <v>105.57958477508649</v>
      </c>
      <c r="G7" s="262">
        <f t="shared" si="1"/>
        <v>106.35633298358677</v>
      </c>
      <c r="I7" s="264"/>
      <c r="J7" s="264"/>
    </row>
    <row r="8" spans="1:19" s="263" customFormat="1" ht="19.5" customHeight="1" x14ac:dyDescent="0.2">
      <c r="A8" s="205" t="s">
        <v>113</v>
      </c>
      <c r="B8" s="99">
        <f t="shared" si="0"/>
        <v>2299786</v>
      </c>
      <c r="C8" s="99">
        <v>254700</v>
      </c>
      <c r="D8" s="99">
        <v>2554486</v>
      </c>
      <c r="E8" s="262">
        <f t="shared" si="2"/>
        <v>108.04198432399825</v>
      </c>
      <c r="F8" s="262">
        <f t="shared" si="1"/>
        <v>110.16435986159168</v>
      </c>
      <c r="G8" s="262">
        <f t="shared" si="1"/>
        <v>108.24992245118662</v>
      </c>
      <c r="I8" s="264"/>
      <c r="J8" s="264"/>
    </row>
    <row r="9" spans="1:19" s="263" customFormat="1" ht="19.5" customHeight="1" x14ac:dyDescent="0.2">
      <c r="A9" s="205" t="s">
        <v>116</v>
      </c>
      <c r="B9" s="99">
        <f t="shared" si="0"/>
        <v>2351908</v>
      </c>
      <c r="C9" s="99">
        <v>270500</v>
      </c>
      <c r="D9" s="99">
        <v>2622408</v>
      </c>
      <c r="E9" s="262">
        <f t="shared" si="2"/>
        <v>110.49063141852592</v>
      </c>
      <c r="F9" s="262">
        <f t="shared" si="1"/>
        <v>116.99826989619375</v>
      </c>
      <c r="G9" s="262">
        <f t="shared" si="1"/>
        <v>111.12821234305899</v>
      </c>
      <c r="I9" s="264"/>
      <c r="J9" s="264"/>
    </row>
    <row r="10" spans="1:19" s="263" customFormat="1" ht="19.5" customHeight="1" x14ac:dyDescent="0.2">
      <c r="A10" s="205" t="s">
        <v>121</v>
      </c>
      <c r="B10" s="99">
        <v>2398258</v>
      </c>
      <c r="C10" s="99">
        <v>283700</v>
      </c>
      <c r="D10" s="99">
        <v>2681978</v>
      </c>
      <c r="E10" s="262">
        <f t="shared" si="2"/>
        <v>112.66811487716831</v>
      </c>
      <c r="F10" s="262">
        <f t="shared" si="1"/>
        <v>122.70761245674738</v>
      </c>
      <c r="G10" s="262">
        <f t="shared" si="1"/>
        <v>113.65257453585127</v>
      </c>
      <c r="I10" s="264"/>
      <c r="J10" s="264"/>
      <c r="O10" s="367"/>
    </row>
    <row r="11" spans="1:19" s="263" customFormat="1" ht="19.5" customHeight="1" x14ac:dyDescent="0.2">
      <c r="A11" s="205" t="s">
        <v>176</v>
      </c>
      <c r="B11" s="99">
        <v>2437306</v>
      </c>
      <c r="C11" s="99">
        <v>290470</v>
      </c>
      <c r="D11" s="99">
        <v>2727776</v>
      </c>
      <c r="E11" s="262">
        <f t="shared" si="2"/>
        <v>114.50255660517408</v>
      </c>
      <c r="F11" s="262">
        <f t="shared" si="1"/>
        <v>125.6358131487889</v>
      </c>
      <c r="G11" s="262">
        <f t="shared" si="1"/>
        <v>115.59332893748801</v>
      </c>
      <c r="H11" s="373"/>
      <c r="I11" s="264"/>
      <c r="J11" s="264"/>
      <c r="O11" s="367"/>
    </row>
    <row r="12" spans="1:19" s="263" customFormat="1" ht="19.5" customHeight="1" x14ac:dyDescent="0.2">
      <c r="A12" s="205" t="s">
        <v>211</v>
      </c>
      <c r="B12" s="99">
        <f>D12-C12</f>
        <v>2507736</v>
      </c>
      <c r="C12" s="99">
        <v>278278</v>
      </c>
      <c r="D12" s="99">
        <v>2786014</v>
      </c>
      <c r="E12" s="262">
        <f t="shared" ref="E12:G12" si="3">B12*E10/B10</f>
        <v>117.81129792107879</v>
      </c>
      <c r="F12" s="262">
        <f t="shared" si="3"/>
        <v>120.36245674740482</v>
      </c>
      <c r="G12" s="262">
        <f t="shared" si="3"/>
        <v>118.06124576447873</v>
      </c>
      <c r="H12" s="373"/>
      <c r="I12" s="264"/>
      <c r="J12" s="264"/>
    </row>
    <row r="13" spans="1:19" s="263" customFormat="1" ht="19.5" customHeight="1" x14ac:dyDescent="0.2">
      <c r="A13" s="205" t="s">
        <v>229</v>
      </c>
      <c r="B13" s="99">
        <f>D13-C13</f>
        <v>2519345</v>
      </c>
      <c r="C13" s="99">
        <v>302994</v>
      </c>
      <c r="D13" s="99">
        <v>2822339</v>
      </c>
      <c r="E13" s="262">
        <f t="shared" ref="E13:G14" si="4">B13*E10/B10</f>
        <v>118.35667883739764</v>
      </c>
      <c r="F13" s="262">
        <f t="shared" si="4"/>
        <v>131.05276816608995</v>
      </c>
      <c r="G13" s="262">
        <f t="shared" si="4"/>
        <v>119.60056852179248</v>
      </c>
      <c r="I13" s="264"/>
      <c r="J13" s="264"/>
    </row>
    <row r="14" spans="1:19" ht="19.5" customHeight="1" x14ac:dyDescent="0.2">
      <c r="A14" s="205" t="s">
        <v>292</v>
      </c>
      <c r="B14" s="99">
        <f>D14-C14</f>
        <v>2445624</v>
      </c>
      <c r="C14" s="99">
        <v>310759</v>
      </c>
      <c r="D14" s="99">
        <v>2756383</v>
      </c>
      <c r="E14" s="262">
        <f t="shared" si="4"/>
        <v>114.89332914905729</v>
      </c>
      <c r="F14" s="262">
        <f t="shared" si="4"/>
        <v>134.41133217993078</v>
      </c>
      <c r="G14" s="262">
        <f t="shared" si="4"/>
        <v>116.80559063379837</v>
      </c>
      <c r="H14" s="263"/>
      <c r="I14" s="264"/>
      <c r="J14" s="372"/>
    </row>
    <row r="15" spans="1:19" ht="12.75" customHeight="1" x14ac:dyDescent="0.2">
      <c r="A15" s="335" t="s">
        <v>294</v>
      </c>
    </row>
    <row r="16" spans="1:19" ht="12.75" customHeight="1" x14ac:dyDescent="0.2">
      <c r="A16" s="335" t="s">
        <v>238</v>
      </c>
    </row>
    <row r="17" spans="1:14" x14ac:dyDescent="0.2">
      <c r="A17" s="427" t="s">
        <v>324</v>
      </c>
      <c r="B17" s="427"/>
      <c r="C17" s="427"/>
      <c r="D17" s="427"/>
      <c r="E17" s="427"/>
      <c r="F17" s="427"/>
      <c r="G17" s="427"/>
      <c r="H17" s="427"/>
      <c r="I17" s="427"/>
      <c r="J17" s="427"/>
    </row>
    <row r="18" spans="1:14" x14ac:dyDescent="0.2">
      <c r="A18" s="427" t="s">
        <v>236</v>
      </c>
      <c r="B18" s="427"/>
      <c r="C18" s="427"/>
      <c r="D18" s="427"/>
      <c r="E18" s="427"/>
      <c r="F18" s="427"/>
      <c r="G18" s="427"/>
      <c r="H18" s="427"/>
      <c r="I18" s="427"/>
      <c r="J18" s="427"/>
    </row>
    <row r="19" spans="1:14" x14ac:dyDescent="0.2">
      <c r="K19" s="266"/>
      <c r="N19" s="267"/>
    </row>
    <row r="20" spans="1:14" ht="15.75" x14ac:dyDescent="0.2">
      <c r="A20" s="13" t="s">
        <v>337</v>
      </c>
    </row>
    <row r="23" spans="1:14" x14ac:dyDescent="0.2">
      <c r="A23" s="268"/>
    </row>
    <row r="24" spans="1:14" x14ac:dyDescent="0.2">
      <c r="A24" s="268"/>
    </row>
    <row r="36" s="269" customFormat="1" ht="22.7" customHeight="1" x14ac:dyDescent="0.2"/>
    <row r="37" s="269" customFormat="1" ht="13.7" customHeight="1" x14ac:dyDescent="0.2"/>
    <row r="42" s="263" customFormat="1" x14ac:dyDescent="0.2"/>
    <row r="43" s="263" customFormat="1" ht="18" customHeight="1" x14ac:dyDescent="0.2"/>
    <row r="50" spans="2:12" x14ac:dyDescent="0.2">
      <c r="B50" s="426" t="s">
        <v>324</v>
      </c>
      <c r="C50" s="426"/>
      <c r="D50" s="426"/>
      <c r="E50" s="426"/>
      <c r="F50" s="426"/>
      <c r="G50" s="426"/>
      <c r="H50" s="426"/>
      <c r="I50" s="426"/>
      <c r="J50" s="426"/>
      <c r="K50" s="426"/>
    </row>
    <row r="51" spans="2:12" ht="27" customHeight="1" x14ac:dyDescent="0.2">
      <c r="B51" s="426" t="s">
        <v>236</v>
      </c>
      <c r="C51" s="426"/>
      <c r="D51" s="426"/>
      <c r="E51" s="426"/>
      <c r="F51" s="426"/>
      <c r="G51" s="426"/>
      <c r="H51" s="426"/>
      <c r="I51" s="426"/>
      <c r="J51" s="426"/>
      <c r="K51" s="426"/>
      <c r="L51" s="141"/>
    </row>
  </sheetData>
  <mergeCells count="4">
    <mergeCell ref="B51:K51"/>
    <mergeCell ref="B50:K50"/>
    <mergeCell ref="A17:J17"/>
    <mergeCell ref="A18:J18"/>
  </mergeCells>
  <hyperlinks>
    <hyperlink ref="A2" location="Sommaire!A2" display="Retour au sommaire"/>
  </hyperlinks>
  <pageMargins left="0.78740157499999996" right="0.78740157499999996" top="0.984251969" bottom="0.984251969" header="0.4921259845" footer="0.4921259845"/>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U51"/>
  <sheetViews>
    <sheetView showGridLines="0" zoomScale="110" zoomScaleNormal="110" workbookViewId="0">
      <selection activeCell="L25" sqref="L25"/>
    </sheetView>
  </sheetViews>
  <sheetFormatPr baseColWidth="10" defaultRowHeight="12.75" x14ac:dyDescent="0.2"/>
  <cols>
    <col min="1" max="1" width="46.28515625" style="7" customWidth="1"/>
    <col min="2" max="7" width="8.5703125" style="7" customWidth="1"/>
    <col min="8" max="9" width="11.42578125" style="7"/>
    <col min="10" max="10" width="14.85546875" style="7" customWidth="1"/>
    <col min="11" max="12" width="13.140625" style="7" bestFit="1" customWidth="1"/>
    <col min="13" max="13" width="15.42578125" style="7" customWidth="1"/>
    <col min="14" max="16384" width="11.42578125" style="7"/>
  </cols>
  <sheetData>
    <row r="1" spans="1:21" s="9" customFormat="1" ht="17.45" customHeight="1" x14ac:dyDescent="0.2">
      <c r="A1" s="13" t="s">
        <v>335</v>
      </c>
      <c r="B1" s="159"/>
      <c r="C1" s="159"/>
      <c r="D1" s="159"/>
      <c r="E1" s="159"/>
      <c r="F1" s="159"/>
      <c r="G1" s="159"/>
      <c r="H1" s="159"/>
      <c r="I1" s="159"/>
      <c r="J1" s="159"/>
    </row>
    <row r="2" spans="1:21" s="9" customFormat="1" ht="17.45" customHeight="1" x14ac:dyDescent="0.2">
      <c r="A2" s="364" t="s">
        <v>282</v>
      </c>
      <c r="B2" s="159"/>
      <c r="C2" s="159"/>
      <c r="D2" s="159"/>
      <c r="E2" s="159"/>
      <c r="F2" s="159"/>
      <c r="G2" s="159"/>
      <c r="H2" s="159"/>
      <c r="I2" s="159"/>
      <c r="J2" s="159"/>
    </row>
    <row r="3" spans="1:21" s="18" customFormat="1" ht="17.45" customHeight="1" x14ac:dyDescent="0.2">
      <c r="A3" s="325"/>
      <c r="B3" s="325" t="s">
        <v>66</v>
      </c>
      <c r="C3" s="325" t="s">
        <v>67</v>
      </c>
      <c r="D3" s="325" t="s">
        <v>81</v>
      </c>
      <c r="E3" s="325" t="s">
        <v>114</v>
      </c>
      <c r="F3" s="325" t="s">
        <v>144</v>
      </c>
      <c r="G3" s="325" t="s">
        <v>145</v>
      </c>
      <c r="H3" s="325" t="s">
        <v>176</v>
      </c>
      <c r="I3" s="325" t="s">
        <v>211</v>
      </c>
      <c r="J3" s="325" t="s">
        <v>229</v>
      </c>
      <c r="K3" s="325" t="s">
        <v>292</v>
      </c>
    </row>
    <row r="4" spans="1:21" s="18" customFormat="1" ht="17.45" customHeight="1" x14ac:dyDescent="0.25">
      <c r="A4" s="82" t="s">
        <v>80</v>
      </c>
      <c r="B4" s="97">
        <v>0.129</v>
      </c>
      <c r="C4" s="97">
        <v>0.126</v>
      </c>
      <c r="D4" s="97">
        <v>0.125</v>
      </c>
      <c r="E4" s="97">
        <v>0.123</v>
      </c>
      <c r="F4" s="97">
        <v>0.13</v>
      </c>
      <c r="G4" s="97">
        <v>0.13300000000000001</v>
      </c>
      <c r="H4" s="97">
        <v>0.13100000000000001</v>
      </c>
      <c r="I4" s="97">
        <v>0.12189999999999999</v>
      </c>
      <c r="J4" s="97">
        <v>0.129222123573315</v>
      </c>
      <c r="K4" s="97">
        <f>13.464357/100</f>
        <v>0.13464356999999999</v>
      </c>
      <c r="L4" s="374"/>
      <c r="M4" s="375"/>
    </row>
    <row r="5" spans="1:21" s="18" customFormat="1" ht="17.45" customHeight="1" x14ac:dyDescent="0.25">
      <c r="A5" s="98" t="s">
        <v>327</v>
      </c>
      <c r="B5" s="97">
        <v>3.9E-2</v>
      </c>
      <c r="C5" s="97">
        <v>3.7999999999999999E-2</v>
      </c>
      <c r="D5" s="97">
        <v>3.6999999999999998E-2</v>
      </c>
      <c r="E5" s="97">
        <v>3.5999999999999997E-2</v>
      </c>
      <c r="F5" s="97">
        <v>3.4000000000000002E-2</v>
      </c>
      <c r="G5" s="97">
        <v>3.1E-2</v>
      </c>
      <c r="H5" s="97">
        <v>3.1E-2</v>
      </c>
      <c r="I5" s="97">
        <v>2.64E-2</v>
      </c>
      <c r="J5" s="97">
        <v>2.6126408010012515E-2</v>
      </c>
      <c r="K5" s="97">
        <f>2.930372/100</f>
        <v>2.9303720000000002E-2</v>
      </c>
      <c r="L5" s="374"/>
      <c r="M5" s="167"/>
    </row>
    <row r="6" spans="1:21" s="18" customFormat="1" ht="17.45" customHeight="1" x14ac:dyDescent="0.25">
      <c r="A6" s="82" t="s">
        <v>330</v>
      </c>
      <c r="B6" s="97">
        <v>0.107</v>
      </c>
      <c r="C6" s="97">
        <v>0.106</v>
      </c>
      <c r="D6" s="97">
        <v>0.107</v>
      </c>
      <c r="E6" s="97">
        <v>0.111</v>
      </c>
      <c r="F6" s="97">
        <v>0.104</v>
      </c>
      <c r="G6" s="97">
        <v>0.108</v>
      </c>
      <c r="H6" s="97">
        <v>0.112</v>
      </c>
      <c r="I6" s="97">
        <v>0.109</v>
      </c>
      <c r="J6" s="97">
        <v>0.10874939615242533</v>
      </c>
      <c r="K6" s="97">
        <f>11.297523/100</f>
        <v>0.11297523</v>
      </c>
      <c r="L6" s="374"/>
      <c r="M6" s="167"/>
    </row>
    <row r="7" spans="1:21" s="18" customFormat="1" ht="17.45" customHeight="1" x14ac:dyDescent="0.25">
      <c r="A7" s="82" t="s">
        <v>239</v>
      </c>
      <c r="B7" s="97">
        <v>6.0000000000000001E-3</v>
      </c>
      <c r="C7" s="97">
        <v>7.0000000000000001E-3</v>
      </c>
      <c r="D7" s="97">
        <v>8.0000000000000002E-3</v>
      </c>
      <c r="E7" s="97">
        <v>8.0000000000000002E-3</v>
      </c>
      <c r="F7" s="97">
        <v>8.9999999999999993E-3</v>
      </c>
      <c r="G7" s="97">
        <v>0.01</v>
      </c>
      <c r="H7" s="97">
        <v>8.9999999999999993E-3</v>
      </c>
      <c r="I7" s="97">
        <v>1.128E-2</v>
      </c>
      <c r="J7" s="97">
        <v>1.6412474807102905E-2</v>
      </c>
      <c r="K7" s="97">
        <f>2.02097/100</f>
        <v>2.0209700000000001E-2</v>
      </c>
      <c r="L7" s="374"/>
      <c r="M7" s="167"/>
    </row>
    <row r="8" spans="1:21" s="18" customFormat="1" ht="17.45" customHeight="1" x14ac:dyDescent="0.25">
      <c r="A8" s="82" t="s">
        <v>54</v>
      </c>
      <c r="B8" s="97">
        <v>0.123</v>
      </c>
      <c r="C8" s="97">
        <v>0.129</v>
      </c>
      <c r="D8" s="97">
        <v>0.128</v>
      </c>
      <c r="E8" s="97">
        <v>0.14000000000000001</v>
      </c>
      <c r="F8" s="97">
        <v>0.14799999999999999</v>
      </c>
      <c r="G8" s="97">
        <v>0.16500000000000001</v>
      </c>
      <c r="H8" s="97">
        <v>0.17399999999999999</v>
      </c>
      <c r="I8" s="97">
        <v>0.1646</v>
      </c>
      <c r="J8" s="97">
        <v>0.18702340829451466</v>
      </c>
      <c r="K8" s="97">
        <f>18.869103/100</f>
        <v>0.18869102999999998</v>
      </c>
      <c r="L8" s="374"/>
      <c r="M8" s="167"/>
    </row>
    <row r="9" spans="1:21" s="18" customFormat="1" ht="17.45" customHeight="1" x14ac:dyDescent="0.2">
      <c r="A9" s="326" t="s">
        <v>240</v>
      </c>
      <c r="B9" s="327">
        <v>9.7000000000000003E-2</v>
      </c>
      <c r="C9" s="327">
        <v>9.7000000000000003E-2</v>
      </c>
      <c r="D9" s="327">
        <v>9.7000000000000003E-2</v>
      </c>
      <c r="E9" s="327">
        <v>0.1</v>
      </c>
      <c r="F9" s="327">
        <v>0.10299999999999999</v>
      </c>
      <c r="G9" s="327">
        <v>0.106</v>
      </c>
      <c r="H9" s="327">
        <v>0.107</v>
      </c>
      <c r="I9" s="327">
        <v>9.9919999999999995E-2</v>
      </c>
      <c r="J9" s="327">
        <v>0.10769951552427499</v>
      </c>
      <c r="K9" s="327">
        <f>11.274159/100</f>
        <v>0.11274158999999999</v>
      </c>
      <c r="L9" s="374"/>
      <c r="M9" s="167"/>
    </row>
    <row r="10" spans="1:21" s="19" customFormat="1" ht="17.45" customHeight="1" x14ac:dyDescent="0.2">
      <c r="A10" s="328" t="s">
        <v>329</v>
      </c>
      <c r="B10" s="329"/>
      <c r="C10" s="329"/>
      <c r="D10" s="329"/>
      <c r="E10" s="329"/>
      <c r="F10" s="329"/>
      <c r="G10" s="329"/>
      <c r="H10" s="329"/>
      <c r="I10" s="329"/>
      <c r="K10" s="7"/>
      <c r="L10" s="7"/>
      <c r="M10" s="7"/>
    </row>
    <row r="11" spans="1:21" s="19" customFormat="1" ht="17.45" customHeight="1" x14ac:dyDescent="0.2">
      <c r="A11" s="328" t="s">
        <v>78</v>
      </c>
      <c r="B11" s="329"/>
      <c r="C11" s="329"/>
      <c r="D11" s="329"/>
      <c r="E11" s="329"/>
      <c r="F11" s="312"/>
      <c r="G11" s="312"/>
      <c r="H11" s="329"/>
      <c r="I11" s="329"/>
      <c r="K11" s="7"/>
      <c r="L11" s="7"/>
      <c r="M11" s="7"/>
      <c r="O11" s="7"/>
      <c r="P11" s="7"/>
      <c r="Q11" s="7"/>
      <c r="R11" s="7"/>
      <c r="S11" s="7"/>
      <c r="T11" s="7"/>
      <c r="U11" s="7"/>
    </row>
    <row r="12" spans="1:21" s="19" customFormat="1" ht="17.45" customHeight="1" x14ac:dyDescent="0.2">
      <c r="A12" s="328" t="s">
        <v>241</v>
      </c>
      <c r="B12" s="329"/>
      <c r="C12" s="329"/>
      <c r="D12" s="329"/>
      <c r="E12" s="329"/>
      <c r="F12" s="312"/>
      <c r="G12" s="312"/>
      <c r="H12" s="329"/>
      <c r="I12" s="329"/>
      <c r="K12" s="7"/>
      <c r="L12" s="7"/>
      <c r="M12" s="7"/>
      <c r="O12" s="7"/>
      <c r="P12" s="7"/>
      <c r="Q12" s="7"/>
      <c r="R12" s="7"/>
      <c r="S12" s="7"/>
      <c r="T12" s="7"/>
      <c r="U12" s="7"/>
    </row>
    <row r="13" spans="1:21" s="19" customFormat="1" ht="28.5" customHeight="1" x14ac:dyDescent="0.2">
      <c r="A13" s="328" t="s">
        <v>324</v>
      </c>
      <c r="B13" s="328"/>
      <c r="C13" s="328"/>
      <c r="D13" s="328"/>
      <c r="E13" s="328"/>
      <c r="F13" s="328"/>
      <c r="G13" s="328"/>
      <c r="H13" s="328"/>
      <c r="I13" s="328"/>
      <c r="K13" s="7"/>
      <c r="L13" s="7"/>
      <c r="M13" s="7"/>
      <c r="O13" s="7"/>
      <c r="P13" s="7"/>
      <c r="Q13" s="7"/>
      <c r="R13" s="7"/>
      <c r="S13" s="7"/>
      <c r="T13" s="7"/>
      <c r="U13" s="7"/>
    </row>
    <row r="14" spans="1:21" x14ac:dyDescent="0.2">
      <c r="A14" s="428" t="s">
        <v>242</v>
      </c>
      <c r="B14" s="428"/>
      <c r="C14" s="428"/>
      <c r="D14" s="428"/>
      <c r="E14" s="428"/>
      <c r="F14" s="428"/>
      <c r="G14" s="428"/>
      <c r="H14" s="428"/>
      <c r="I14" s="428"/>
    </row>
    <row r="15" spans="1:21" ht="15.75" x14ac:dyDescent="0.2">
      <c r="A15" s="13" t="s">
        <v>336</v>
      </c>
    </row>
    <row r="16" spans="1:21" x14ac:dyDescent="0.2">
      <c r="F16" s="8"/>
    </row>
    <row r="36" spans="1:13" x14ac:dyDescent="0.2">
      <c r="A36" s="12"/>
    </row>
    <row r="37" spans="1:13" x14ac:dyDescent="0.2">
      <c r="A37" s="12"/>
    </row>
    <row r="40" spans="1:13" x14ac:dyDescent="0.2">
      <c r="M40" s="164"/>
    </row>
    <row r="47" spans="1:13" x14ac:dyDescent="0.2">
      <c r="A47" s="10"/>
    </row>
    <row r="50" spans="1:9" ht="12.75" customHeight="1" x14ac:dyDescent="0.2">
      <c r="A50" s="428" t="s">
        <v>324</v>
      </c>
      <c r="B50" s="428"/>
      <c r="C50" s="428"/>
      <c r="D50" s="428"/>
      <c r="E50" s="428"/>
      <c r="F50" s="428"/>
      <c r="G50" s="428"/>
      <c r="H50" s="428"/>
      <c r="I50" s="428"/>
    </row>
    <row r="51" spans="1:9" ht="24" customHeight="1" x14ac:dyDescent="0.2">
      <c r="A51" s="428" t="s">
        <v>236</v>
      </c>
      <c r="B51" s="428"/>
      <c r="C51" s="428"/>
      <c r="D51" s="428"/>
      <c r="E51" s="428"/>
      <c r="F51" s="428"/>
      <c r="G51" s="428"/>
      <c r="H51" s="428"/>
      <c r="I51" s="428"/>
    </row>
  </sheetData>
  <mergeCells count="3">
    <mergeCell ref="A51:I51"/>
    <mergeCell ref="A50:I50"/>
    <mergeCell ref="A14:I14"/>
  </mergeCells>
  <hyperlinks>
    <hyperlink ref="A2" location="Sommaire!A2" display="Retour au sommaire"/>
  </hyperlinks>
  <pageMargins left="0.78740157499999996" right="0.78740157499999996" top="0.984251969" bottom="0.984251969" header="0.4921259845" footer="0.4921259845"/>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U49"/>
  <sheetViews>
    <sheetView showGridLines="0" topLeftCell="A22" zoomScaleNormal="100" zoomScaleSheetLayoutView="85" workbookViewId="0">
      <selection activeCell="A29" sqref="A29:P29"/>
    </sheetView>
  </sheetViews>
  <sheetFormatPr baseColWidth="10" defaultRowHeight="12.75" x14ac:dyDescent="0.2"/>
  <cols>
    <col min="1" max="1" width="36.7109375" style="1" customWidth="1"/>
    <col min="2" max="15" width="9.85546875" style="2" customWidth="1"/>
    <col min="16" max="16" width="14.42578125" style="2" customWidth="1"/>
    <col min="17" max="17" width="15" style="2" customWidth="1"/>
    <col min="18" max="18" width="11.85546875" style="1" bestFit="1" customWidth="1"/>
    <col min="19" max="16384" width="11.42578125" style="1"/>
  </cols>
  <sheetData>
    <row r="1" spans="1:21" ht="15" x14ac:dyDescent="0.25">
      <c r="A1" s="168" t="s">
        <v>256</v>
      </c>
      <c r="B1" s="3"/>
      <c r="C1" s="3"/>
      <c r="D1" s="3"/>
      <c r="E1" s="3"/>
      <c r="F1" s="3"/>
      <c r="G1" s="3"/>
      <c r="H1" s="3"/>
      <c r="I1" s="3"/>
      <c r="J1" s="3"/>
      <c r="K1" s="3"/>
      <c r="L1" s="3"/>
      <c r="M1" s="3"/>
      <c r="N1" s="3"/>
      <c r="O1" s="3"/>
      <c r="P1" s="3"/>
      <c r="Q1" s="3"/>
    </row>
    <row r="2" spans="1:21" x14ac:dyDescent="0.2">
      <c r="A2" s="169" t="s">
        <v>200</v>
      </c>
      <c r="B2" s="3"/>
      <c r="C2" s="3"/>
      <c r="D2" s="3"/>
      <c r="E2" s="3"/>
      <c r="F2" s="3"/>
      <c r="G2" s="3"/>
      <c r="H2" s="3"/>
      <c r="I2" s="3"/>
      <c r="J2" s="3"/>
      <c r="K2" s="3"/>
      <c r="L2" s="3"/>
      <c r="M2" s="3"/>
      <c r="N2" s="3"/>
      <c r="O2" s="3"/>
      <c r="P2" s="3"/>
      <c r="Q2" s="3"/>
    </row>
    <row r="3" spans="1:21" x14ac:dyDescent="0.2">
      <c r="A3" s="364" t="s">
        <v>282</v>
      </c>
      <c r="B3" s="3"/>
      <c r="C3" s="3"/>
      <c r="D3" s="3"/>
      <c r="E3" s="3"/>
      <c r="F3" s="3"/>
      <c r="G3" s="3"/>
      <c r="H3" s="3"/>
      <c r="I3" s="3"/>
      <c r="J3" s="3"/>
      <c r="K3" s="3"/>
      <c r="L3" s="3"/>
      <c r="M3" s="3"/>
      <c r="N3" s="3"/>
      <c r="O3" s="3"/>
      <c r="P3" s="3"/>
      <c r="Q3" s="3"/>
    </row>
    <row r="4" spans="1:21" ht="26.25" customHeight="1" x14ac:dyDescent="0.2">
      <c r="A4" s="435" t="s">
        <v>42</v>
      </c>
      <c r="B4" s="429">
        <v>1980</v>
      </c>
      <c r="C4" s="429">
        <v>1990</v>
      </c>
      <c r="D4" s="429">
        <v>2000</v>
      </c>
      <c r="E4" s="429">
        <v>2005</v>
      </c>
      <c r="F4" s="429">
        <v>2010</v>
      </c>
      <c r="G4" s="429">
        <v>2012</v>
      </c>
      <c r="H4" s="431">
        <v>2015</v>
      </c>
      <c r="I4" s="433" t="s">
        <v>171</v>
      </c>
      <c r="J4" s="429">
        <v>2017</v>
      </c>
      <c r="K4" s="429">
        <v>2018</v>
      </c>
      <c r="L4" s="429">
        <v>2019</v>
      </c>
      <c r="M4" s="429">
        <v>2020</v>
      </c>
      <c r="N4" s="429">
        <v>2021</v>
      </c>
      <c r="O4" s="429">
        <v>2022</v>
      </c>
      <c r="P4" s="437" t="s">
        <v>119</v>
      </c>
      <c r="Q4" s="429" t="s">
        <v>307</v>
      </c>
    </row>
    <row r="5" spans="1:21" ht="14.25" customHeight="1" x14ac:dyDescent="0.2">
      <c r="A5" s="436"/>
      <c r="B5" s="430"/>
      <c r="C5" s="430"/>
      <c r="D5" s="430"/>
      <c r="E5" s="430"/>
      <c r="F5" s="430"/>
      <c r="G5" s="430"/>
      <c r="H5" s="432"/>
      <c r="I5" s="434"/>
      <c r="J5" s="430"/>
      <c r="K5" s="430"/>
      <c r="L5" s="430"/>
      <c r="M5" s="430"/>
      <c r="N5" s="430"/>
      <c r="O5" s="430"/>
      <c r="P5" s="438"/>
      <c r="Q5" s="430"/>
    </row>
    <row r="6" spans="1:21" x14ac:dyDescent="0.2">
      <c r="A6" s="207" t="s">
        <v>3</v>
      </c>
      <c r="B6" s="216">
        <v>858.1</v>
      </c>
      <c r="C6" s="216">
        <v>1159.9369999999999</v>
      </c>
      <c r="D6" s="216">
        <v>1396.76</v>
      </c>
      <c r="E6" s="216">
        <v>1421.7190000000001</v>
      </c>
      <c r="F6" s="216">
        <v>1420.56</v>
      </c>
      <c r="G6" s="216">
        <v>1443.2840000000001</v>
      </c>
      <c r="H6" s="294">
        <f>(1407592+28470+116183)/1000</f>
        <v>1552.2449999999999</v>
      </c>
      <c r="I6" s="216">
        <f>(1422605+29698+116551)/1000</f>
        <v>1568.854</v>
      </c>
      <c r="J6" s="216">
        <f>(1438213+29857+116751)/1000</f>
        <v>1584.8209999999999</v>
      </c>
      <c r="K6" s="216">
        <f>(1464229+30993+119661)/1000</f>
        <v>1614.883</v>
      </c>
      <c r="L6" s="216">
        <f>(1483025+31774+120551)/1000</f>
        <v>1635.35</v>
      </c>
      <c r="M6" s="216">
        <f>(1497891+31157+120930)/1000</f>
        <v>1649.9780000000001</v>
      </c>
      <c r="N6" s="216">
        <f>(1510407+31451+115056)/1000</f>
        <v>1656.914</v>
      </c>
      <c r="O6" s="216">
        <f>(1458822+31613+107256)/1000</f>
        <v>1597.691</v>
      </c>
      <c r="P6" s="295">
        <f>100*(O6+2087/1000-N6)/N6</f>
        <v>-3.4483382963750664</v>
      </c>
      <c r="Q6" s="216">
        <f>(1495601+107256+56787)/1000</f>
        <v>1659.644</v>
      </c>
      <c r="R6" s="21"/>
    </row>
    <row r="7" spans="1:21" x14ac:dyDescent="0.2">
      <c r="A7" s="116" t="s">
        <v>235</v>
      </c>
      <c r="B7" s="117">
        <v>53.7</v>
      </c>
      <c r="C7" s="117">
        <v>74.328000000000003</v>
      </c>
      <c r="D7" s="117">
        <v>116.889</v>
      </c>
      <c r="E7" s="117">
        <v>112.59699999999999</v>
      </c>
      <c r="G7" s="117">
        <v>114.67700000000001</v>
      </c>
      <c r="H7" s="118">
        <v>116.18300000000001</v>
      </c>
      <c r="I7" s="117">
        <v>116.551</v>
      </c>
      <c r="J7" s="117">
        <v>116.751</v>
      </c>
      <c r="K7" s="117">
        <f>119661/1000</f>
        <v>119.661</v>
      </c>
      <c r="L7" s="117">
        <f>120551/1000</f>
        <v>120.551</v>
      </c>
      <c r="M7" s="117">
        <f>120930/1000</f>
        <v>120.93</v>
      </c>
      <c r="N7" s="117">
        <f>115056/1000</f>
        <v>115.056</v>
      </c>
      <c r="O7" s="117">
        <f>107256/1000</f>
        <v>107.256</v>
      </c>
      <c r="P7" s="295">
        <f>(O7-N7)/N7*100</f>
        <v>-6.7793074676679161</v>
      </c>
      <c r="Q7" s="117">
        <f>107256/1000</f>
        <v>107.256</v>
      </c>
      <c r="R7" s="21"/>
    </row>
    <row r="8" spans="1:21" x14ac:dyDescent="0.2">
      <c r="A8" s="116" t="s">
        <v>84</v>
      </c>
      <c r="B8" s="117">
        <v>8.33</v>
      </c>
      <c r="C8" s="117">
        <v>10.545</v>
      </c>
      <c r="D8" s="117">
        <v>23.228000000000002</v>
      </c>
      <c r="E8" s="117">
        <v>25.606000000000002</v>
      </c>
      <c r="F8" s="117">
        <v>23.869</v>
      </c>
      <c r="G8" s="117">
        <v>25.1</v>
      </c>
      <c r="H8" s="118">
        <v>28.47</v>
      </c>
      <c r="I8" s="117">
        <v>29.698</v>
      </c>
      <c r="J8" s="117">
        <v>29.856999999999999</v>
      </c>
      <c r="K8" s="117">
        <f>30993/1000</f>
        <v>30.992999999999999</v>
      </c>
      <c r="L8" s="117">
        <f>31774/1000</f>
        <v>31.774000000000001</v>
      </c>
      <c r="M8" s="117">
        <f>31157/1000</f>
        <v>31.157</v>
      </c>
      <c r="N8" s="117">
        <f>31451/1000</f>
        <v>31.451000000000001</v>
      </c>
      <c r="O8" s="117">
        <f>31613/1000</f>
        <v>31.613</v>
      </c>
      <c r="P8" s="295">
        <f t="shared" ref="P8:P18" si="0">(O8-N8)/N8*100</f>
        <v>0.51508696066897408</v>
      </c>
      <c r="Q8" s="117">
        <f>56787/1000</f>
        <v>56.786999999999999</v>
      </c>
    </row>
    <row r="9" spans="1:21" ht="24.75" customHeight="1" x14ac:dyDescent="0.2">
      <c r="A9" s="296" t="s">
        <v>247</v>
      </c>
      <c r="B9" s="216">
        <v>31.622</v>
      </c>
      <c r="C9" s="216">
        <v>47.107999999999997</v>
      </c>
      <c r="D9" s="216">
        <v>73.389999999999986</v>
      </c>
      <c r="E9" s="216">
        <v>82.450999999999993</v>
      </c>
      <c r="F9" s="216">
        <v>101.595</v>
      </c>
      <c r="G9" s="216">
        <v>109.233</v>
      </c>
      <c r="H9" s="294">
        <v>117.959</v>
      </c>
      <c r="I9" s="216">
        <v>122.77800000000001</v>
      </c>
      <c r="J9" s="216">
        <v>128.91</v>
      </c>
      <c r="K9" s="216">
        <f>133184/1000</f>
        <v>133.184</v>
      </c>
      <c r="L9" s="216">
        <f>135773/1000</f>
        <v>135.773</v>
      </c>
      <c r="M9" s="216">
        <f>140768/1000</f>
        <v>140.768</v>
      </c>
      <c r="N9" s="216">
        <f>144213/1000</f>
        <v>144.21299999999999</v>
      </c>
      <c r="O9" s="216">
        <f>146010/1000</f>
        <v>146.01</v>
      </c>
      <c r="P9" s="295">
        <f t="shared" si="0"/>
        <v>1.2460735162572008</v>
      </c>
      <c r="Q9" s="216">
        <f>120836/1000</f>
        <v>120.836</v>
      </c>
      <c r="R9" s="334"/>
      <c r="S9" s="21"/>
      <c r="T9" s="21"/>
      <c r="U9" s="21"/>
    </row>
    <row r="10" spans="1:21" x14ac:dyDescent="0.2">
      <c r="A10" s="207" t="s">
        <v>213</v>
      </c>
      <c r="B10" s="216">
        <v>67.900000000000006</v>
      </c>
      <c r="C10" s="216">
        <v>199.333</v>
      </c>
      <c r="D10" s="216">
        <v>238.89400000000001</v>
      </c>
      <c r="E10" s="216">
        <v>230.40299999999999</v>
      </c>
      <c r="F10" s="216">
        <v>242.24700000000001</v>
      </c>
      <c r="G10" s="216">
        <v>253.72900000000001</v>
      </c>
      <c r="H10" s="294">
        <v>256.06599999999997</v>
      </c>
      <c r="I10" s="216">
        <v>257.24700000000001</v>
      </c>
      <c r="J10" s="216">
        <v>256.56299999999999</v>
      </c>
      <c r="K10" s="216">
        <f>262626/1000</f>
        <v>262.62599999999998</v>
      </c>
      <c r="L10" s="216">
        <f>262498/1000</f>
        <v>262.49799999999999</v>
      </c>
      <c r="M10" s="216">
        <f>267350/1000</f>
        <v>267.35000000000002</v>
      </c>
      <c r="N10" s="216">
        <f>252041/1000</f>
        <v>252.041</v>
      </c>
      <c r="O10" s="216">
        <f>227769/1000</f>
        <v>227.76900000000001</v>
      </c>
      <c r="P10" s="295">
        <f t="shared" si="0"/>
        <v>-9.6301792168734419</v>
      </c>
      <c r="Q10" s="216">
        <f>227769/1000</f>
        <v>227.76900000000001</v>
      </c>
    </row>
    <row r="11" spans="1:21" x14ac:dyDescent="0.2">
      <c r="A11" s="207" t="s">
        <v>212</v>
      </c>
      <c r="B11" s="216"/>
      <c r="C11" s="216"/>
      <c r="D11" s="216"/>
      <c r="E11" s="216"/>
      <c r="F11" s="216">
        <v>49.965000000000003</v>
      </c>
      <c r="G11" s="216">
        <v>61.768999999999998</v>
      </c>
      <c r="H11" s="294">
        <v>60.094999999999999</v>
      </c>
      <c r="I11" s="216">
        <v>62.83</v>
      </c>
      <c r="J11" s="216">
        <v>67.400999999999996</v>
      </c>
      <c r="K11" s="216">
        <v>72.608000000000004</v>
      </c>
      <c r="L11" s="216">
        <v>79.225999999999999</v>
      </c>
      <c r="M11" s="216">
        <v>109.48</v>
      </c>
      <c r="N11" s="216">
        <v>156.82400000000001</v>
      </c>
      <c r="O11" s="216">
        <f>178914/1000</f>
        <v>178.91399999999999</v>
      </c>
      <c r="P11" s="295">
        <f t="shared" si="0"/>
        <v>14.085854205988863</v>
      </c>
      <c r="Q11" s="216">
        <f>178914/1000</f>
        <v>178.91399999999999</v>
      </c>
    </row>
    <row r="12" spans="1:21" x14ac:dyDescent="0.2">
      <c r="A12" s="207" t="s">
        <v>4</v>
      </c>
      <c r="B12" s="216">
        <v>40.1</v>
      </c>
      <c r="C12" s="216">
        <v>64.427000000000007</v>
      </c>
      <c r="D12" s="216">
        <v>70.263000000000005</v>
      </c>
      <c r="E12" s="216">
        <v>74.790000000000006</v>
      </c>
      <c r="F12" s="216">
        <v>79.873999999999995</v>
      </c>
      <c r="G12" s="216">
        <v>82.165000000000006</v>
      </c>
      <c r="H12" s="294">
        <v>85.938000000000002</v>
      </c>
      <c r="I12" s="216">
        <v>86.472999999999999</v>
      </c>
      <c r="J12" s="216">
        <v>86.477999999999994</v>
      </c>
      <c r="K12" s="216">
        <f>85121/1000</f>
        <v>85.120999999999995</v>
      </c>
      <c r="L12" s="216">
        <f>85070/1000</f>
        <v>85.07</v>
      </c>
      <c r="M12" s="216">
        <f>84903/1000</f>
        <v>84.903000000000006</v>
      </c>
      <c r="N12" s="216">
        <f>83371/1000</f>
        <v>83.370999999999995</v>
      </c>
      <c r="O12" s="216">
        <f>81164/1000</f>
        <v>81.164000000000001</v>
      </c>
      <c r="P12" s="295">
        <f t="shared" si="0"/>
        <v>-2.647203464034249</v>
      </c>
      <c r="Q12" s="216">
        <f>81164/1000</f>
        <v>81.164000000000001</v>
      </c>
    </row>
    <row r="13" spans="1:21" x14ac:dyDescent="0.2">
      <c r="A13" s="207" t="s">
        <v>108</v>
      </c>
      <c r="B13" s="216">
        <v>15.824</v>
      </c>
      <c r="C13" s="216">
        <v>46.128</v>
      </c>
      <c r="D13" s="216">
        <v>63.392000000000003</v>
      </c>
      <c r="E13" s="216">
        <v>88.436999999999998</v>
      </c>
      <c r="F13" s="216">
        <v>121.31699999999999</v>
      </c>
      <c r="G13" s="216">
        <v>131.04300000000001</v>
      </c>
      <c r="H13" s="294">
        <v>136.244</v>
      </c>
      <c r="I13" s="216">
        <v>152.08000000000001</v>
      </c>
      <c r="J13" s="216">
        <v>174.09200000000001</v>
      </c>
      <c r="K13" s="216">
        <f>187428/1000</f>
        <v>187.428</v>
      </c>
      <c r="L13" s="216">
        <f>199225/1000</f>
        <v>199.22499999999999</v>
      </c>
      <c r="M13" s="216">
        <f>219337/1000</f>
        <v>219.33699999999999</v>
      </c>
      <c r="N13" s="216">
        <f>239146/1000</f>
        <v>239.14599999999999</v>
      </c>
      <c r="O13" s="216">
        <f>244865/1000</f>
        <v>244.86500000000001</v>
      </c>
      <c r="P13" s="295">
        <f t="shared" si="0"/>
        <v>2.3914261580791747</v>
      </c>
      <c r="Q13" s="216">
        <f>244865/1000</f>
        <v>244.86500000000001</v>
      </c>
    </row>
    <row r="14" spans="1:21" x14ac:dyDescent="0.2">
      <c r="A14" s="207" t="s">
        <v>5</v>
      </c>
      <c r="B14" s="216">
        <v>91.741</v>
      </c>
      <c r="C14" s="216">
        <v>74.435000000000002</v>
      </c>
      <c r="D14" s="216">
        <v>93.385999999999996</v>
      </c>
      <c r="E14" s="216">
        <v>131.654</v>
      </c>
      <c r="F14" s="216">
        <v>137.37</v>
      </c>
      <c r="G14" s="216">
        <v>132.9</v>
      </c>
      <c r="H14" s="294">
        <v>135.17599999999999</v>
      </c>
      <c r="I14" s="216">
        <v>135.08000000000001</v>
      </c>
      <c r="J14" s="216">
        <v>134.75800000000001</v>
      </c>
      <c r="K14" s="216">
        <f>(138256+364)/1000</f>
        <v>138.62</v>
      </c>
      <c r="L14" s="216">
        <f>140613/1000</f>
        <v>140.613</v>
      </c>
      <c r="M14" s="216">
        <f>142041/1000</f>
        <v>142.041</v>
      </c>
      <c r="N14" s="216">
        <f>152274/1000</f>
        <v>152.274</v>
      </c>
      <c r="O14" s="216">
        <f>152368/1000</f>
        <v>152.36799999999999</v>
      </c>
      <c r="P14" s="369" t="s">
        <v>234</v>
      </c>
      <c r="Q14" s="216">
        <f>151636/1000</f>
        <v>151.636</v>
      </c>
    </row>
    <row r="15" spans="1:21" x14ac:dyDescent="0.2">
      <c r="A15" s="207" t="s">
        <v>85</v>
      </c>
      <c r="B15" s="216">
        <v>75.812999999999874</v>
      </c>
      <c r="C15" s="216">
        <v>125.69200000000023</v>
      </c>
      <c r="D15" s="216">
        <v>224.16799999999967</v>
      </c>
      <c r="E15" s="216">
        <v>253.81299999999976</v>
      </c>
      <c r="F15" s="216">
        <v>196.27099999999999</v>
      </c>
      <c r="G15" s="216">
        <v>207.45</v>
      </c>
      <c r="H15" s="294">
        <v>226.173</v>
      </c>
      <c r="I15" s="216">
        <v>231.97399999999999</v>
      </c>
      <c r="J15" s="216">
        <v>256.786</v>
      </c>
      <c r="K15" s="216">
        <f>(260480-364)/1000</f>
        <v>260.11599999999999</v>
      </c>
      <c r="L15" s="216">
        <f>269247/1000</f>
        <v>269.24700000000001</v>
      </c>
      <c r="M15" s="216">
        <f>281637/1000</f>
        <v>281.637</v>
      </c>
      <c r="N15" s="216">
        <f>294380/1000</f>
        <v>294.38</v>
      </c>
      <c r="O15" s="216">
        <f>306516/1000</f>
        <v>306.51600000000002</v>
      </c>
      <c r="P15" s="295">
        <f t="shared" si="0"/>
        <v>4.1225626740947163</v>
      </c>
      <c r="Q15" s="216">
        <f>270469/1000</f>
        <v>270.46899999999999</v>
      </c>
    </row>
    <row r="16" spans="1:21" x14ac:dyDescent="0.2">
      <c r="A16" s="119" t="s">
        <v>8</v>
      </c>
      <c r="B16" s="120">
        <f t="shared" ref="B16:J16" si="1">SUM(B9:B15,B6)</f>
        <v>1181.0999999999999</v>
      </c>
      <c r="C16" s="120">
        <f t="shared" si="1"/>
        <v>1717.0600000000002</v>
      </c>
      <c r="D16" s="120">
        <f t="shared" si="1"/>
        <v>2160.2529999999997</v>
      </c>
      <c r="E16" s="120">
        <f t="shared" si="1"/>
        <v>2283.2669999999998</v>
      </c>
      <c r="F16" s="120">
        <f t="shared" si="1"/>
        <v>2349.1990000000001</v>
      </c>
      <c r="G16" s="120">
        <v>2421.5730000000003</v>
      </c>
      <c r="H16" s="121">
        <f t="shared" si="1"/>
        <v>2569.8959999999997</v>
      </c>
      <c r="I16" s="297">
        <f t="shared" si="1"/>
        <v>2617.3159999999998</v>
      </c>
      <c r="J16" s="120">
        <f t="shared" si="1"/>
        <v>2689.8090000000002</v>
      </c>
      <c r="K16" s="120">
        <f>SUM(K9:K15,K6)</f>
        <v>2754.5860000000002</v>
      </c>
      <c r="L16" s="120">
        <f>SUM(L9:L15,L6)</f>
        <v>2807.002</v>
      </c>
      <c r="M16" s="120">
        <f>SUM(M9:M15,M6)</f>
        <v>2895.4940000000001</v>
      </c>
      <c r="N16" s="120">
        <f>SUM(N9:N15,N6)</f>
        <v>2979.1629999999996</v>
      </c>
      <c r="O16" s="120">
        <f>2935297/1000</f>
        <v>2935.297</v>
      </c>
      <c r="P16" s="370">
        <f t="shared" si="0"/>
        <v>-1.4724269870429896</v>
      </c>
      <c r="Q16" s="120">
        <f>2935297/1000</f>
        <v>2935.297</v>
      </c>
      <c r="R16" s="21"/>
      <c r="S16" s="21"/>
    </row>
    <row r="17" spans="1:20" x14ac:dyDescent="0.2">
      <c r="A17" s="122" t="s">
        <v>83</v>
      </c>
      <c r="B17" s="123"/>
      <c r="C17" s="123">
        <v>224.06299999999999</v>
      </c>
      <c r="D17" s="123">
        <v>277.38400000000001</v>
      </c>
      <c r="E17" s="123">
        <v>333.68900000000002</v>
      </c>
      <c r="F17" s="123">
        <v>446.91199999999998</v>
      </c>
      <c r="G17" s="123">
        <v>471.392</v>
      </c>
      <c r="H17" s="124">
        <v>491.69600000000003</v>
      </c>
      <c r="I17" s="125">
        <v>516.58799999999997</v>
      </c>
      <c r="J17" s="126">
        <v>565.7170000000001</v>
      </c>
      <c r="K17" s="126">
        <v>590.13799999999992</v>
      </c>
      <c r="L17" s="126">
        <v>617.245</v>
      </c>
      <c r="M17" s="126">
        <v>670.10400000000004</v>
      </c>
      <c r="N17" s="126">
        <v>742.07299999999998</v>
      </c>
      <c r="O17" s="126">
        <v>766.87400000000002</v>
      </c>
      <c r="P17" s="295">
        <f t="shared" si="0"/>
        <v>3.3421240228387292</v>
      </c>
      <c r="Q17" s="126">
        <v>766.87400000000002</v>
      </c>
    </row>
    <row r="18" spans="1:20" x14ac:dyDescent="0.2">
      <c r="A18" s="127" t="s">
        <v>82</v>
      </c>
      <c r="B18" s="128"/>
      <c r="C18" s="128">
        <v>161.148</v>
      </c>
      <c r="D18" s="128">
        <v>174.608</v>
      </c>
      <c r="E18" s="128">
        <v>265.70999999999998</v>
      </c>
      <c r="F18" s="128">
        <v>286.09100000000001</v>
      </c>
      <c r="G18" s="131">
        <v>290.39999999999998</v>
      </c>
      <c r="H18" s="129">
        <v>309.62299999999999</v>
      </c>
      <c r="I18" s="130">
        <v>323.86799999999999</v>
      </c>
      <c r="J18" s="131">
        <v>343.38799999999998</v>
      </c>
      <c r="K18" s="131">
        <v>360.34100000000001</v>
      </c>
      <c r="L18" s="131">
        <v>372.548</v>
      </c>
      <c r="M18" s="131">
        <v>368.95499999999998</v>
      </c>
      <c r="N18" s="131">
        <v>400.11200000000002</v>
      </c>
      <c r="O18" s="131">
        <v>412.06799999999998</v>
      </c>
      <c r="P18" s="371">
        <f t="shared" si="0"/>
        <v>2.9881633142719939</v>
      </c>
      <c r="Q18" s="131">
        <v>412.06799999999998</v>
      </c>
    </row>
    <row r="19" spans="1:20" x14ac:dyDescent="0.2">
      <c r="A19" s="270"/>
      <c r="B19" s="271"/>
      <c r="C19" s="271"/>
      <c r="D19" s="271"/>
      <c r="E19" s="271"/>
      <c r="F19" s="271"/>
      <c r="G19" s="271"/>
      <c r="H19" s="271"/>
      <c r="I19" s="271"/>
      <c r="J19" s="271"/>
      <c r="K19" s="271"/>
      <c r="L19" s="271"/>
      <c r="M19" s="271"/>
      <c r="N19" s="271"/>
      <c r="O19" s="271"/>
      <c r="P19" s="272"/>
      <c r="Q19" s="117"/>
    </row>
    <row r="20" spans="1:20" x14ac:dyDescent="0.2">
      <c r="A20" s="418" t="s">
        <v>199</v>
      </c>
      <c r="B20" s="418"/>
      <c r="C20" s="418"/>
      <c r="D20" s="418"/>
      <c r="E20" s="418"/>
      <c r="F20" s="418"/>
      <c r="G20" s="418"/>
      <c r="H20" s="418"/>
      <c r="I20" s="418"/>
      <c r="J20" s="418"/>
      <c r="K20" s="418"/>
      <c r="L20" s="418"/>
      <c r="M20" s="418"/>
      <c r="N20" s="418"/>
      <c r="O20" s="418"/>
      <c r="P20" s="418"/>
      <c r="Q20" s="1"/>
    </row>
    <row r="21" spans="1:20" ht="12.75" customHeight="1" x14ac:dyDescent="0.2">
      <c r="A21" s="418" t="s">
        <v>205</v>
      </c>
      <c r="B21" s="418"/>
      <c r="C21" s="418"/>
      <c r="D21" s="418"/>
      <c r="E21" s="418"/>
      <c r="F21" s="418"/>
      <c r="G21" s="418"/>
      <c r="H21" s="418"/>
      <c r="I21" s="418"/>
      <c r="J21" s="418"/>
      <c r="K21" s="418"/>
      <c r="L21" s="418"/>
      <c r="M21" s="418"/>
      <c r="N21" s="418"/>
      <c r="O21" s="418"/>
      <c r="P21" s="418"/>
      <c r="Q21" s="33"/>
    </row>
    <row r="22" spans="1:20" ht="12.75" customHeight="1" x14ac:dyDescent="0.2">
      <c r="A22" s="418" t="s">
        <v>6</v>
      </c>
      <c r="B22" s="418"/>
      <c r="C22" s="418"/>
      <c r="D22" s="418"/>
      <c r="E22" s="418"/>
      <c r="F22" s="418"/>
      <c r="G22" s="418"/>
      <c r="H22" s="418"/>
      <c r="I22" s="418"/>
      <c r="J22" s="418"/>
      <c r="K22" s="418"/>
      <c r="L22" s="418"/>
      <c r="M22" s="418"/>
      <c r="N22" s="418"/>
      <c r="O22" s="418"/>
      <c r="P22" s="418"/>
      <c r="Q22" s="274"/>
    </row>
    <row r="23" spans="1:20" ht="12.75" customHeight="1" x14ac:dyDescent="0.2">
      <c r="A23" s="418" t="s">
        <v>311</v>
      </c>
      <c r="B23" s="418"/>
      <c r="C23" s="418"/>
      <c r="D23" s="418"/>
      <c r="E23" s="418"/>
      <c r="F23" s="418"/>
      <c r="G23" s="418"/>
      <c r="H23" s="418"/>
      <c r="I23" s="418"/>
      <c r="J23" s="418"/>
      <c r="K23" s="418"/>
      <c r="L23" s="418"/>
      <c r="M23" s="418"/>
      <c r="N23" s="418"/>
      <c r="O23" s="418"/>
      <c r="P23" s="418"/>
      <c r="Q23" s="33"/>
    </row>
    <row r="24" spans="1:20" ht="23.25" customHeight="1" x14ac:dyDescent="0.2">
      <c r="A24" s="418" t="s">
        <v>172</v>
      </c>
      <c r="B24" s="418"/>
      <c r="C24" s="418"/>
      <c r="D24" s="418"/>
      <c r="E24" s="418"/>
      <c r="F24" s="418"/>
      <c r="G24" s="418"/>
      <c r="H24" s="418"/>
      <c r="I24" s="418"/>
      <c r="J24" s="418"/>
      <c r="K24" s="418"/>
      <c r="L24" s="418"/>
      <c r="M24" s="418"/>
      <c r="N24" s="418"/>
      <c r="O24" s="418"/>
      <c r="P24" s="418"/>
      <c r="Q24" s="21"/>
      <c r="T24" s="199"/>
    </row>
    <row r="25" spans="1:20" ht="23.25" customHeight="1" x14ac:dyDescent="0.2">
      <c r="A25" s="418" t="s">
        <v>208</v>
      </c>
      <c r="B25" s="418"/>
      <c r="C25" s="418"/>
      <c r="D25" s="418"/>
      <c r="E25" s="418"/>
      <c r="F25" s="418"/>
      <c r="G25" s="418"/>
      <c r="H25" s="418"/>
      <c r="I25" s="418"/>
      <c r="J25" s="418"/>
      <c r="K25" s="418"/>
      <c r="L25" s="418"/>
      <c r="M25" s="418"/>
      <c r="N25" s="418"/>
      <c r="O25" s="418"/>
      <c r="P25" s="418"/>
      <c r="Q25" s="21"/>
      <c r="T25" s="199"/>
    </row>
    <row r="26" spans="1:20" ht="23.25" customHeight="1" x14ac:dyDescent="0.2">
      <c r="A26" s="202" t="s">
        <v>306</v>
      </c>
      <c r="B26" s="365"/>
      <c r="C26" s="365"/>
      <c r="D26" s="365"/>
      <c r="E26" s="365"/>
      <c r="F26" s="365"/>
      <c r="G26" s="365"/>
      <c r="H26" s="365"/>
      <c r="I26" s="365"/>
      <c r="J26" s="365"/>
      <c r="K26" s="365"/>
      <c r="L26" s="365"/>
      <c r="M26" s="365"/>
      <c r="N26" s="365"/>
      <c r="O26" s="365"/>
      <c r="P26" s="365"/>
      <c r="Q26" s="21"/>
      <c r="T26" s="199"/>
    </row>
    <row r="27" spans="1:20" ht="23.25" customHeight="1" x14ac:dyDescent="0.2">
      <c r="A27" s="202"/>
      <c r="B27" s="365"/>
      <c r="C27" s="365"/>
      <c r="D27" s="365"/>
      <c r="E27" s="365"/>
      <c r="F27" s="365"/>
      <c r="G27" s="365"/>
      <c r="H27" s="365"/>
      <c r="I27" s="365"/>
      <c r="J27" s="365"/>
      <c r="K27" s="365"/>
      <c r="L27" s="365"/>
      <c r="M27" s="365"/>
      <c r="N27" s="365"/>
      <c r="O27" s="365"/>
      <c r="P27" s="365"/>
      <c r="Q27" s="21"/>
      <c r="T27" s="199"/>
    </row>
    <row r="28" spans="1:20" ht="16.5" customHeight="1" x14ac:dyDescent="0.2">
      <c r="A28" s="415" t="s">
        <v>324</v>
      </c>
      <c r="B28" s="415"/>
      <c r="C28" s="415"/>
      <c r="D28" s="415"/>
      <c r="E28" s="415"/>
      <c r="F28" s="415"/>
      <c r="G28" s="415"/>
      <c r="H28" s="415"/>
      <c r="I28" s="415"/>
      <c r="J28" s="415"/>
      <c r="K28" s="415"/>
      <c r="L28" s="415"/>
      <c r="M28" s="415"/>
      <c r="N28" s="415"/>
      <c r="O28" s="415"/>
      <c r="P28" s="415"/>
      <c r="Q28" s="33"/>
    </row>
    <row r="29" spans="1:20" ht="25.5" customHeight="1" x14ac:dyDescent="0.2">
      <c r="A29" s="415" t="s">
        <v>284</v>
      </c>
      <c r="B29" s="415"/>
      <c r="C29" s="415"/>
      <c r="D29" s="415"/>
      <c r="E29" s="415"/>
      <c r="F29" s="415"/>
      <c r="G29" s="415"/>
      <c r="H29" s="415"/>
      <c r="I29" s="415"/>
      <c r="J29" s="415"/>
      <c r="K29" s="415"/>
      <c r="L29" s="415"/>
      <c r="M29" s="415"/>
      <c r="N29" s="415"/>
      <c r="O29" s="415"/>
      <c r="P29" s="415"/>
      <c r="Q29" s="155"/>
      <c r="R29" s="198"/>
    </row>
    <row r="30" spans="1:20" ht="12.75" customHeight="1" x14ac:dyDescent="0.2">
      <c r="B30" s="1"/>
      <c r="C30" s="1"/>
      <c r="D30" s="1"/>
      <c r="E30" s="1"/>
      <c r="F30" s="1"/>
      <c r="G30" s="1"/>
      <c r="H30" s="1"/>
      <c r="I30" s="1"/>
      <c r="J30" s="1"/>
      <c r="K30" s="1"/>
      <c r="L30" s="1"/>
      <c r="M30" s="1"/>
      <c r="N30" s="1"/>
      <c r="O30" s="1"/>
      <c r="P30" s="1"/>
      <c r="Q30" s="1"/>
    </row>
    <row r="31" spans="1:20" x14ac:dyDescent="0.2">
      <c r="B31" s="1"/>
      <c r="C31" s="1"/>
      <c r="D31" s="1"/>
      <c r="E31" s="1"/>
      <c r="F31" s="1"/>
      <c r="G31" s="1"/>
      <c r="H31"/>
      <c r="I31"/>
      <c r="J31"/>
      <c r="K31"/>
      <c r="L31"/>
      <c r="M31"/>
      <c r="N31"/>
      <c r="O31"/>
      <c r="P31" s="1"/>
      <c r="Q31" s="1"/>
    </row>
    <row r="32" spans="1:20" x14ac:dyDescent="0.2">
      <c r="B32" s="1"/>
      <c r="C32" s="1"/>
      <c r="D32" s="1"/>
      <c r="E32" s="1"/>
      <c r="F32" s="1"/>
      <c r="G32" s="1"/>
      <c r="H32" s="1"/>
      <c r="I32" s="1"/>
      <c r="J32" s="1"/>
      <c r="K32" s="1"/>
      <c r="L32" s="21"/>
      <c r="M32" s="21"/>
      <c r="N32" s="21"/>
      <c r="O32" s="21"/>
      <c r="P32" s="1"/>
      <c r="Q32" s="21"/>
    </row>
    <row r="33" spans="2:17" x14ac:dyDescent="0.2">
      <c r="B33" s="1"/>
      <c r="C33" s="1"/>
      <c r="D33" s="1"/>
      <c r="E33" s="1"/>
      <c r="F33" s="1"/>
      <c r="G33" s="1"/>
      <c r="H33"/>
      <c r="I33"/>
      <c r="J33"/>
      <c r="K33"/>
      <c r="L33"/>
      <c r="M33"/>
      <c r="N33"/>
      <c r="O33"/>
      <c r="P33" s="1"/>
      <c r="Q33" s="1"/>
    </row>
    <row r="34" spans="2:17" x14ac:dyDescent="0.2">
      <c r="B34" s="1"/>
      <c r="C34" s="1"/>
      <c r="D34" s="1"/>
      <c r="E34" s="1"/>
      <c r="F34" s="1"/>
      <c r="G34" s="1"/>
      <c r="H34" s="1"/>
      <c r="I34" s="1"/>
      <c r="J34" s="1"/>
      <c r="K34" s="1"/>
      <c r="L34" s="1"/>
      <c r="M34" s="1"/>
      <c r="N34" s="1"/>
      <c r="O34" s="1"/>
      <c r="P34" s="166"/>
      <c r="Q34" s="21"/>
    </row>
    <row r="35" spans="2:17" x14ac:dyDescent="0.2">
      <c r="D35" s="1"/>
      <c r="E35" s="1"/>
      <c r="F35" s="1"/>
      <c r="G35" s="1"/>
      <c r="H35" s="21"/>
      <c r="I35" s="21"/>
      <c r="J35" s="21"/>
      <c r="K35" s="21"/>
      <c r="L35" s="21"/>
      <c r="M35" s="21"/>
      <c r="N35" s="21"/>
      <c r="O35" s="21"/>
      <c r="P35" s="1"/>
      <c r="Q35" s="1"/>
    </row>
    <row r="36" spans="2:17" x14ac:dyDescent="0.2">
      <c r="D36" s="1"/>
      <c r="E36" s="1"/>
      <c r="F36" s="1"/>
      <c r="G36" s="1"/>
      <c r="H36" s="1"/>
      <c r="I36" s="1"/>
      <c r="J36" s="1"/>
      <c r="K36" s="1"/>
      <c r="L36" s="21"/>
      <c r="M36" s="21"/>
      <c r="N36" s="21"/>
      <c r="O36" s="21"/>
      <c r="P36" s="1"/>
      <c r="Q36" s="21"/>
    </row>
    <row r="37" spans="2:17" x14ac:dyDescent="0.2">
      <c r="D37" s="1"/>
      <c r="E37" s="1"/>
      <c r="F37" s="1"/>
      <c r="G37" s="1"/>
      <c r="H37" s="1"/>
      <c r="I37" s="1"/>
      <c r="J37" s="1"/>
      <c r="K37" s="1"/>
      <c r="L37" s="1"/>
      <c r="M37" s="21"/>
      <c r="N37" s="21"/>
      <c r="O37" s="21"/>
      <c r="P37" s="1"/>
      <c r="Q37" s="1"/>
    </row>
    <row r="38" spans="2:17" x14ac:dyDescent="0.2">
      <c r="D38" s="1"/>
      <c r="E38" s="1"/>
      <c r="F38" s="1"/>
      <c r="G38" s="1"/>
      <c r="L38" s="21"/>
      <c r="M38" s="21"/>
      <c r="N38" s="21"/>
      <c r="O38" s="21"/>
      <c r="P38" s="166"/>
      <c r="Q38" s="21"/>
    </row>
    <row r="39" spans="2:17" x14ac:dyDescent="0.2">
      <c r="D39" s="1"/>
      <c r="E39" s="1"/>
      <c r="F39" s="1"/>
      <c r="G39" s="1"/>
    </row>
    <row r="40" spans="2:17" x14ac:dyDescent="0.2">
      <c r="D40" s="1"/>
      <c r="E40" s="1"/>
      <c r="F40" s="1"/>
      <c r="G40" s="1"/>
    </row>
    <row r="41" spans="2:17" x14ac:dyDescent="0.2">
      <c r="D41" s="1"/>
      <c r="E41" s="1"/>
      <c r="F41" s="1"/>
      <c r="G41" s="1"/>
    </row>
    <row r="42" spans="2:17" x14ac:dyDescent="0.2">
      <c r="D42" s="1"/>
      <c r="E42" s="1"/>
      <c r="F42" s="1"/>
      <c r="G42" s="1"/>
    </row>
    <row r="43" spans="2:17" x14ac:dyDescent="0.2">
      <c r="D43" s="1"/>
      <c r="E43" s="1"/>
      <c r="F43" s="1"/>
      <c r="G43" s="1"/>
    </row>
    <row r="44" spans="2:17" x14ac:dyDescent="0.2">
      <c r="D44" s="1"/>
      <c r="E44" s="1"/>
      <c r="F44" s="1"/>
      <c r="G44" s="1"/>
    </row>
    <row r="45" spans="2:17" x14ac:dyDescent="0.2">
      <c r="D45" s="1"/>
      <c r="E45" s="1"/>
      <c r="F45" s="1"/>
      <c r="G45" s="1"/>
    </row>
    <row r="46" spans="2:17" x14ac:dyDescent="0.2">
      <c r="D46" s="1"/>
    </row>
    <row r="48" spans="2:17" x14ac:dyDescent="0.2">
      <c r="B48" s="1"/>
      <c r="C48" s="1"/>
      <c r="D48" s="1"/>
      <c r="E48" s="1"/>
      <c r="F48" s="1"/>
      <c r="G48" s="1"/>
      <c r="H48" s="1"/>
      <c r="I48" s="1"/>
      <c r="J48" s="1"/>
      <c r="K48" s="1"/>
      <c r="L48" s="1"/>
      <c r="M48" s="1"/>
      <c r="N48" s="1"/>
      <c r="O48" s="1"/>
      <c r="P48" s="1"/>
      <c r="Q48" s="1"/>
    </row>
    <row r="49" spans="2:17" x14ac:dyDescent="0.2">
      <c r="B49" s="1"/>
      <c r="C49" s="1"/>
      <c r="D49" s="1"/>
      <c r="E49" s="1"/>
      <c r="F49" s="1"/>
      <c r="G49" s="1"/>
      <c r="H49" s="1"/>
      <c r="I49" s="1"/>
      <c r="J49" s="1"/>
      <c r="K49" s="1"/>
      <c r="L49" s="1"/>
      <c r="M49" s="1"/>
      <c r="N49" s="1"/>
      <c r="O49" s="1"/>
      <c r="P49" s="1"/>
      <c r="Q49" s="1"/>
    </row>
  </sheetData>
  <mergeCells count="25">
    <mergeCell ref="Q4:Q5"/>
    <mergeCell ref="A21:P21"/>
    <mergeCell ref="A22:P22"/>
    <mergeCell ref="H4:H5"/>
    <mergeCell ref="J4:J5"/>
    <mergeCell ref="I4:I5"/>
    <mergeCell ref="K4:K5"/>
    <mergeCell ref="A4:A5"/>
    <mergeCell ref="B4:B5"/>
    <mergeCell ref="C4:C5"/>
    <mergeCell ref="D4:D5"/>
    <mergeCell ref="F4:F5"/>
    <mergeCell ref="E4:E5"/>
    <mergeCell ref="L4:L5"/>
    <mergeCell ref="P4:P5"/>
    <mergeCell ref="M4:M5"/>
    <mergeCell ref="N4:N5"/>
    <mergeCell ref="A23:P23"/>
    <mergeCell ref="A28:P28"/>
    <mergeCell ref="A24:P24"/>
    <mergeCell ref="A29:P29"/>
    <mergeCell ref="A20:P20"/>
    <mergeCell ref="A25:P25"/>
    <mergeCell ref="G4:G5"/>
    <mergeCell ref="O4:O5"/>
  </mergeCells>
  <phoneticPr fontId="0" type="noConversion"/>
  <hyperlinks>
    <hyperlink ref="A3" location="Sommaire!A2" display="Retour au sommaire"/>
  </hyperlinks>
  <pageMargins left="0.78740157499999996" right="0.78740157499999996" top="0.984251969" bottom="0.984251969" header="0.4921259845" footer="0.4921259845"/>
  <pageSetup paperSize="9" scale="68"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showGridLines="0" topLeftCell="A20" zoomScale="112" zoomScaleNormal="112" workbookViewId="0">
      <selection activeCell="A29" sqref="A29:F29"/>
    </sheetView>
  </sheetViews>
  <sheetFormatPr baseColWidth="10" defaultColWidth="11.42578125" defaultRowHeight="12" x14ac:dyDescent="0.2"/>
  <cols>
    <col min="1" max="1" width="26.85546875" style="169" customWidth="1"/>
    <col min="2" max="4" width="19.7109375" style="169" customWidth="1"/>
    <col min="5" max="6" width="10.7109375" style="169" customWidth="1"/>
    <col min="7" max="7" width="16.140625" style="169" customWidth="1"/>
    <col min="8" max="16384" width="11.42578125" style="169"/>
  </cols>
  <sheetData>
    <row r="1" spans="1:8" x14ac:dyDescent="0.2">
      <c r="A1" s="168" t="s">
        <v>301</v>
      </c>
    </row>
    <row r="2" spans="1:8" x14ac:dyDescent="0.2">
      <c r="A2" s="3" t="s">
        <v>186</v>
      </c>
    </row>
    <row r="3" spans="1:8" ht="12.75" thickBot="1" x14ac:dyDescent="0.25">
      <c r="A3" s="364" t="s">
        <v>282</v>
      </c>
      <c r="H3" s="366"/>
    </row>
    <row r="4" spans="1:8" ht="13.5" thickBot="1" x14ac:dyDescent="0.25">
      <c r="A4" s="188"/>
      <c r="B4" s="188" t="s">
        <v>187</v>
      </c>
      <c r="C4" s="188" t="s">
        <v>188</v>
      </c>
      <c r="D4" s="188" t="s">
        <v>257</v>
      </c>
      <c r="E4" s="439" t="s">
        <v>8</v>
      </c>
      <c r="F4" s="440"/>
    </row>
    <row r="5" spans="1:8" ht="51" x14ac:dyDescent="0.2">
      <c r="A5" s="188"/>
      <c r="B5" s="188" t="s">
        <v>258</v>
      </c>
      <c r="C5" s="188" t="s">
        <v>258</v>
      </c>
      <c r="D5" s="188" t="s">
        <v>258</v>
      </c>
      <c r="E5" s="188" t="s">
        <v>258</v>
      </c>
      <c r="F5" s="188" t="s">
        <v>304</v>
      </c>
      <c r="G5" s="170"/>
    </row>
    <row r="6" spans="1:8" x14ac:dyDescent="0.2">
      <c r="A6" s="356" t="s">
        <v>259</v>
      </c>
      <c r="B6" s="357">
        <v>132900</v>
      </c>
      <c r="C6" s="357">
        <v>76120</v>
      </c>
      <c r="D6" s="357">
        <v>5640</v>
      </c>
      <c r="E6" s="358">
        <v>214660</v>
      </c>
      <c r="F6" s="359">
        <v>-2.3749101790960609</v>
      </c>
    </row>
    <row r="7" spans="1:8" x14ac:dyDescent="0.2">
      <c r="A7" s="348" t="s">
        <v>260</v>
      </c>
      <c r="B7" s="349">
        <v>127198</v>
      </c>
      <c r="C7" s="349">
        <v>53832</v>
      </c>
      <c r="D7" s="349">
        <v>2706</v>
      </c>
      <c r="E7" s="350">
        <v>183736</v>
      </c>
      <c r="F7" s="351">
        <v>-8.2854110620233481</v>
      </c>
    </row>
    <row r="8" spans="1:8" x14ac:dyDescent="0.2">
      <c r="A8" s="348" t="s">
        <v>261</v>
      </c>
      <c r="B8" s="349">
        <v>27138</v>
      </c>
      <c r="C8" s="349">
        <v>1872</v>
      </c>
      <c r="D8" s="349">
        <v>12</v>
      </c>
      <c r="E8" s="350">
        <v>29022</v>
      </c>
      <c r="F8" s="351">
        <v>-12.025220528054806</v>
      </c>
    </row>
    <row r="9" spans="1:8" ht="22.5" x14ac:dyDescent="0.2">
      <c r="A9" s="348" t="s">
        <v>262</v>
      </c>
      <c r="B9" s="349">
        <v>1479</v>
      </c>
      <c r="C9" s="349">
        <v>4980</v>
      </c>
      <c r="D9" s="350"/>
      <c r="E9" s="350">
        <v>6459</v>
      </c>
      <c r="F9" s="352">
        <v>85.124677558039551</v>
      </c>
    </row>
    <row r="10" spans="1:8" x14ac:dyDescent="0.2">
      <c r="A10" s="356" t="s">
        <v>263</v>
      </c>
      <c r="B10" s="357">
        <v>155815</v>
      </c>
      <c r="C10" s="357">
        <v>60684</v>
      </c>
      <c r="D10" s="357">
        <v>2718</v>
      </c>
      <c r="E10" s="357">
        <v>219217</v>
      </c>
      <c r="F10" s="359">
        <v>-7.4382066651886731</v>
      </c>
    </row>
    <row r="11" spans="1:8" x14ac:dyDescent="0.2">
      <c r="A11" s="348" t="s">
        <v>264</v>
      </c>
      <c r="B11" s="349">
        <v>65465</v>
      </c>
      <c r="C11" s="349">
        <v>19593</v>
      </c>
      <c r="D11" s="349">
        <v>4299</v>
      </c>
      <c r="E11" s="350">
        <v>89357</v>
      </c>
      <c r="F11" s="351">
        <v>-2.9150369404606695</v>
      </c>
    </row>
    <row r="12" spans="1:8" x14ac:dyDescent="0.2">
      <c r="A12" s="348" t="s">
        <v>265</v>
      </c>
      <c r="B12" s="349">
        <v>87172</v>
      </c>
      <c r="C12" s="349">
        <v>13599</v>
      </c>
      <c r="D12" s="349">
        <v>1876</v>
      </c>
      <c r="E12" s="350">
        <v>102647</v>
      </c>
      <c r="F12" s="351">
        <v>-6.6811520418924326</v>
      </c>
    </row>
    <row r="13" spans="1:8" x14ac:dyDescent="0.2">
      <c r="A13" s="348" t="s">
        <v>266</v>
      </c>
      <c r="B13" s="349">
        <v>177662</v>
      </c>
      <c r="C13" s="349">
        <v>113736</v>
      </c>
      <c r="D13" s="349">
        <v>10659</v>
      </c>
      <c r="E13" s="350">
        <v>302057</v>
      </c>
      <c r="F13" s="351">
        <v>-6.0361910153953353</v>
      </c>
    </row>
    <row r="14" spans="1:8" ht="22.5" x14ac:dyDescent="0.2">
      <c r="A14" s="348" t="s">
        <v>267</v>
      </c>
      <c r="B14" s="349">
        <v>7519</v>
      </c>
      <c r="C14" s="349">
        <v>6449</v>
      </c>
      <c r="D14" s="349">
        <v>51</v>
      </c>
      <c r="E14" s="350">
        <v>14019</v>
      </c>
      <c r="F14" s="351">
        <v>3.149142815098227</v>
      </c>
    </row>
    <row r="15" spans="1:8" x14ac:dyDescent="0.2">
      <c r="A15" s="356" t="s">
        <v>268</v>
      </c>
      <c r="B15" s="357">
        <v>337818</v>
      </c>
      <c r="C15" s="357">
        <v>153377</v>
      </c>
      <c r="D15" s="357">
        <v>16885</v>
      </c>
      <c r="E15" s="357">
        <v>508080</v>
      </c>
      <c r="F15" s="359">
        <v>-5.4009771210676831</v>
      </c>
      <c r="G15" s="170"/>
    </row>
    <row r="16" spans="1:8" ht="22.5" x14ac:dyDescent="0.2">
      <c r="A16" s="348" t="s">
        <v>269</v>
      </c>
      <c r="B16" s="349">
        <v>150228</v>
      </c>
      <c r="C16" s="349">
        <v>80276</v>
      </c>
      <c r="D16" s="349">
        <v>15056</v>
      </c>
      <c r="E16" s="350">
        <v>245560</v>
      </c>
      <c r="F16" s="351">
        <v>-4.2083378840122947</v>
      </c>
    </row>
    <row r="17" spans="1:6" x14ac:dyDescent="0.2">
      <c r="A17" s="348" t="s">
        <v>270</v>
      </c>
      <c r="B17" s="349">
        <v>73797</v>
      </c>
      <c r="C17" s="349">
        <v>26224</v>
      </c>
      <c r="D17" s="349">
        <v>10945</v>
      </c>
      <c r="E17" s="350">
        <v>110966</v>
      </c>
      <c r="F17" s="351">
        <v>2.0095605809891524</v>
      </c>
    </row>
    <row r="18" spans="1:6" x14ac:dyDescent="0.2">
      <c r="A18" s="348" t="s">
        <v>271</v>
      </c>
      <c r="B18" s="349">
        <v>13397</v>
      </c>
      <c r="C18" s="349">
        <v>1566</v>
      </c>
      <c r="D18" s="349">
        <v>120</v>
      </c>
      <c r="E18" s="350">
        <v>15083</v>
      </c>
      <c r="F18" s="351">
        <v>-11.521088754619582</v>
      </c>
    </row>
    <row r="19" spans="1:6" x14ac:dyDescent="0.2">
      <c r="A19" s="356" t="s">
        <v>272</v>
      </c>
      <c r="B19" s="357">
        <v>237422</v>
      </c>
      <c r="C19" s="357">
        <v>108066</v>
      </c>
      <c r="D19" s="357">
        <v>26121</v>
      </c>
      <c r="E19" s="357">
        <v>371609</v>
      </c>
      <c r="F19" s="359">
        <v>-2.7647900700943753</v>
      </c>
    </row>
    <row r="20" spans="1:6" x14ac:dyDescent="0.2">
      <c r="A20" s="356" t="s">
        <v>273</v>
      </c>
      <c r="B20" s="357">
        <v>52334</v>
      </c>
      <c r="C20" s="357">
        <v>6176</v>
      </c>
      <c r="D20" s="357">
        <v>584</v>
      </c>
      <c r="E20" s="358">
        <v>59094</v>
      </c>
      <c r="F20" s="359">
        <v>-4.6717212453621553</v>
      </c>
    </row>
    <row r="21" spans="1:6" x14ac:dyDescent="0.2">
      <c r="A21" s="356" t="s">
        <v>274</v>
      </c>
      <c r="B21" s="357">
        <v>140</v>
      </c>
      <c r="C21" s="357"/>
      <c r="D21" s="357"/>
      <c r="E21" s="358">
        <v>140</v>
      </c>
      <c r="F21" s="359">
        <v>6.8702290076335881</v>
      </c>
    </row>
    <row r="22" spans="1:6" x14ac:dyDescent="0.2">
      <c r="A22" s="360" t="s">
        <v>275</v>
      </c>
      <c r="B22" s="361">
        <v>916429</v>
      </c>
      <c r="C22" s="361">
        <v>404423</v>
      </c>
      <c r="D22" s="361">
        <v>51948</v>
      </c>
      <c r="E22" s="361">
        <v>1372800</v>
      </c>
      <c r="F22" s="362">
        <v>-4.5451358104575759</v>
      </c>
    </row>
    <row r="23" spans="1:6" x14ac:dyDescent="0.2">
      <c r="A23" s="348" t="s">
        <v>276</v>
      </c>
      <c r="B23" s="349">
        <v>11964</v>
      </c>
      <c r="C23" s="349">
        <v>157376</v>
      </c>
      <c r="D23" s="349">
        <v>1387</v>
      </c>
      <c r="E23" s="350">
        <v>170727</v>
      </c>
      <c r="F23" s="351">
        <v>4.0605857434553378</v>
      </c>
    </row>
    <row r="24" spans="1:6" x14ac:dyDescent="0.2">
      <c r="A24" s="348" t="s">
        <v>277</v>
      </c>
      <c r="B24" s="349">
        <v>5027</v>
      </c>
      <c r="C24" s="349">
        <v>23456</v>
      </c>
      <c r="D24" s="349">
        <v>152</v>
      </c>
      <c r="E24" s="350">
        <v>28635</v>
      </c>
      <c r="F24" s="351">
        <v>13.87949890634321</v>
      </c>
    </row>
    <row r="25" spans="1:6" x14ac:dyDescent="0.2">
      <c r="A25" s="348" t="s">
        <v>278</v>
      </c>
      <c r="B25" s="349">
        <v>25406</v>
      </c>
      <c r="C25" s="349">
        <v>123</v>
      </c>
      <c r="D25" s="350"/>
      <c r="E25" s="350">
        <v>25529</v>
      </c>
      <c r="F25" s="351">
        <v>-6.6615480238382512</v>
      </c>
    </row>
    <row r="26" spans="1:6" x14ac:dyDescent="0.2">
      <c r="A26" s="360" t="s">
        <v>279</v>
      </c>
      <c r="B26" s="361">
        <v>42397</v>
      </c>
      <c r="C26" s="361">
        <v>180955</v>
      </c>
      <c r="D26" s="361">
        <v>1539</v>
      </c>
      <c r="E26" s="361">
        <v>224891</v>
      </c>
      <c r="F26" s="362">
        <v>3.8464912888285516</v>
      </c>
    </row>
    <row r="27" spans="1:6" x14ac:dyDescent="0.2">
      <c r="A27" s="360" t="s">
        <v>120</v>
      </c>
      <c r="B27" s="361">
        <v>958826</v>
      </c>
      <c r="C27" s="361">
        <v>585378</v>
      </c>
      <c r="D27" s="361">
        <v>53487</v>
      </c>
      <c r="E27" s="361" t="s">
        <v>305</v>
      </c>
      <c r="F27" s="362">
        <v>-3.4483382963750682</v>
      </c>
    </row>
    <row r="28" spans="1:6" x14ac:dyDescent="0.2">
      <c r="A28" s="442" t="s">
        <v>324</v>
      </c>
      <c r="B28" s="442"/>
      <c r="C28" s="353"/>
      <c r="D28" s="353"/>
      <c r="E28" s="354"/>
      <c r="F28" s="354"/>
    </row>
    <row r="29" spans="1:6" ht="15" customHeight="1" x14ac:dyDescent="0.2">
      <c r="A29" s="443" t="s">
        <v>281</v>
      </c>
      <c r="B29" s="443"/>
      <c r="C29" s="443"/>
      <c r="D29" s="443"/>
      <c r="E29" s="443"/>
      <c r="F29" s="443"/>
    </row>
    <row r="30" spans="1:6" ht="12.75" x14ac:dyDescent="0.2">
      <c r="A30" s="444" t="s">
        <v>280</v>
      </c>
      <c r="B30" s="444"/>
      <c r="C30" s="444"/>
      <c r="D30" s="444"/>
      <c r="E30" s="444"/>
      <c r="F30" s="355"/>
    </row>
    <row r="31" spans="1:6" ht="51.75" customHeight="1" x14ac:dyDescent="0.2">
      <c r="A31" s="441" t="s">
        <v>302</v>
      </c>
      <c r="B31" s="441"/>
      <c r="C31" s="441"/>
      <c r="D31" s="441"/>
      <c r="E31" s="441"/>
      <c r="F31" s="441"/>
    </row>
    <row r="32" spans="1:6" ht="51.75" customHeight="1" x14ac:dyDescent="0.2">
      <c r="A32" s="441" t="s">
        <v>303</v>
      </c>
      <c r="B32" s="441"/>
      <c r="C32" s="441"/>
      <c r="D32" s="441"/>
      <c r="E32" s="441"/>
      <c r="F32" s="441"/>
    </row>
    <row r="33" spans="1:6" x14ac:dyDescent="0.2">
      <c r="A33" s="3" t="s">
        <v>285</v>
      </c>
      <c r="B33" s="353"/>
      <c r="C33" s="353"/>
      <c r="D33" s="353"/>
      <c r="E33" s="353"/>
      <c r="F33" s="353"/>
    </row>
  </sheetData>
  <mergeCells count="6">
    <mergeCell ref="E4:F4"/>
    <mergeCell ref="A32:F32"/>
    <mergeCell ref="A28:B28"/>
    <mergeCell ref="A29:F29"/>
    <mergeCell ref="A30:E30"/>
    <mergeCell ref="A31:F31"/>
  </mergeCells>
  <hyperlinks>
    <hyperlink ref="A3" location="Sommaire!A2" display="Retour au sommaire"/>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3"/>
  <sheetViews>
    <sheetView showGridLines="0" workbookViewId="0">
      <selection activeCell="A12" sqref="A12:J12"/>
    </sheetView>
  </sheetViews>
  <sheetFormatPr baseColWidth="10" defaultRowHeight="12.75" x14ac:dyDescent="0.2"/>
  <cols>
    <col min="1" max="1" width="29.28515625" bestFit="1" customWidth="1"/>
    <col min="11" max="11" width="11.42578125" style="189"/>
    <col min="12" max="12" width="30.28515625" style="184" customWidth="1"/>
    <col min="13" max="13" width="11" customWidth="1"/>
  </cols>
  <sheetData>
    <row r="1" spans="1:20" ht="15.75" customHeight="1" x14ac:dyDescent="0.25">
      <c r="A1" s="171" t="s">
        <v>298</v>
      </c>
    </row>
    <row r="2" spans="1:20" ht="13.5" thickBot="1" x14ac:dyDescent="0.25">
      <c r="A2" s="364" t="s">
        <v>282</v>
      </c>
    </row>
    <row r="3" spans="1:20" ht="32.25" customHeight="1" x14ac:dyDescent="0.2">
      <c r="A3" s="188"/>
      <c r="B3" s="188">
        <v>2015</v>
      </c>
      <c r="C3" s="188">
        <v>2016</v>
      </c>
      <c r="D3" s="188">
        <v>2017</v>
      </c>
      <c r="E3" s="188">
        <v>2018</v>
      </c>
      <c r="F3" s="188">
        <v>2019</v>
      </c>
      <c r="G3" s="211">
        <v>2020</v>
      </c>
      <c r="H3" s="211">
        <v>2021</v>
      </c>
      <c r="I3" s="211">
        <v>2022</v>
      </c>
      <c r="J3" s="212" t="s">
        <v>297</v>
      </c>
      <c r="K3" s="213"/>
      <c r="L3" s="188"/>
      <c r="M3" s="188">
        <v>2019</v>
      </c>
      <c r="N3" s="188">
        <v>2020</v>
      </c>
      <c r="O3" s="188">
        <v>2021</v>
      </c>
      <c r="P3" s="188">
        <v>2022</v>
      </c>
    </row>
    <row r="4" spans="1:20" ht="15" x14ac:dyDescent="0.25">
      <c r="A4" s="172" t="s">
        <v>194</v>
      </c>
      <c r="B4" s="173">
        <v>43936.21</v>
      </c>
      <c r="C4" s="173">
        <v>43827.77</v>
      </c>
      <c r="D4" s="173">
        <v>44210.62</v>
      </c>
      <c r="E4" s="173">
        <v>45473.8</v>
      </c>
      <c r="F4" s="173">
        <v>44857.48</v>
      </c>
      <c r="G4" s="173">
        <v>40655</v>
      </c>
      <c r="H4" s="173">
        <v>49139</v>
      </c>
      <c r="I4" s="173">
        <v>49897</v>
      </c>
      <c r="J4" s="174">
        <f>I4/SUM($I$4:$I$9)</f>
        <v>0.16193699979878362</v>
      </c>
      <c r="K4" s="190"/>
      <c r="L4" s="172" t="s">
        <v>202</v>
      </c>
      <c r="M4" s="173">
        <v>45013.39</v>
      </c>
      <c r="N4" s="173">
        <v>40914</v>
      </c>
      <c r="O4" s="173">
        <v>49275</v>
      </c>
      <c r="P4" s="173">
        <v>50326</v>
      </c>
    </row>
    <row r="5" spans="1:20" ht="15" x14ac:dyDescent="0.25">
      <c r="A5" s="172" t="s">
        <v>164</v>
      </c>
      <c r="B5" s="173">
        <v>9655.6059999999998</v>
      </c>
      <c r="C5" s="173">
        <v>9821.5840000000007</v>
      </c>
      <c r="D5" s="173">
        <v>9842.4560000000001</v>
      </c>
      <c r="E5" s="173">
        <v>9684.2119999999995</v>
      </c>
      <c r="F5" s="173">
        <v>9492.5339999999997</v>
      </c>
      <c r="G5" s="173">
        <v>8531</v>
      </c>
      <c r="H5" s="173">
        <v>9011</v>
      </c>
      <c r="I5" s="173">
        <v>10545</v>
      </c>
      <c r="J5" s="174">
        <f t="shared" ref="J5:J9" si="0">I5/SUM($I$4:$I$9)</f>
        <v>3.4223012663650583E-2</v>
      </c>
      <c r="K5" s="190"/>
      <c r="L5" s="172" t="s">
        <v>164</v>
      </c>
      <c r="M5" s="173">
        <v>9336.6209999999992</v>
      </c>
      <c r="N5" s="173">
        <v>8272</v>
      </c>
      <c r="O5" s="173">
        <v>8876</v>
      </c>
      <c r="P5" s="173">
        <v>10116</v>
      </c>
    </row>
    <row r="6" spans="1:20" ht="15" x14ac:dyDescent="0.25">
      <c r="A6" s="172" t="s">
        <v>195</v>
      </c>
      <c r="B6" s="173">
        <v>57361.63</v>
      </c>
      <c r="C6" s="173">
        <v>59665.86</v>
      </c>
      <c r="D6" s="173">
        <v>63550.2</v>
      </c>
      <c r="E6" s="173">
        <v>64588.9</v>
      </c>
      <c r="F6" s="173">
        <v>67742.490000000005</v>
      </c>
      <c r="G6" s="173">
        <v>62837</v>
      </c>
      <c r="H6" s="173">
        <v>66899</v>
      </c>
      <c r="I6" s="173">
        <v>68194</v>
      </c>
      <c r="J6" s="174">
        <f t="shared" si="0"/>
        <v>0.22131855150165841</v>
      </c>
      <c r="K6" s="190"/>
      <c r="L6" s="172" t="s">
        <v>195</v>
      </c>
      <c r="M6" s="173">
        <v>67742.490000000005</v>
      </c>
      <c r="N6" s="173">
        <v>62837</v>
      </c>
      <c r="O6" s="173">
        <v>66899</v>
      </c>
      <c r="P6" s="173">
        <v>68194</v>
      </c>
    </row>
    <row r="7" spans="1:20" ht="15" x14ac:dyDescent="0.25">
      <c r="A7" s="172" t="s">
        <v>196</v>
      </c>
      <c r="B7" s="173">
        <v>58409.26</v>
      </c>
      <c r="C7" s="173">
        <v>63213.32</v>
      </c>
      <c r="D7" s="173">
        <v>70076.789999999994</v>
      </c>
      <c r="E7" s="173">
        <v>73359.58</v>
      </c>
      <c r="F7" s="173">
        <v>73012.45</v>
      </c>
      <c r="G7" s="173">
        <v>72964</v>
      </c>
      <c r="H7" s="173">
        <v>76378</v>
      </c>
      <c r="I7" s="173">
        <v>76391</v>
      </c>
      <c r="J7" s="174">
        <f t="shared" si="0"/>
        <v>0.24792130492071426</v>
      </c>
      <c r="K7" s="190"/>
      <c r="L7" s="172" t="s">
        <v>196</v>
      </c>
      <c r="M7" s="173">
        <v>73012.45</v>
      </c>
      <c r="N7" s="173">
        <v>72964</v>
      </c>
      <c r="O7" s="173">
        <v>76378</v>
      </c>
      <c r="P7" s="173">
        <v>76391</v>
      </c>
    </row>
    <row r="8" spans="1:20" ht="15" x14ac:dyDescent="0.25">
      <c r="A8" s="172" t="s">
        <v>243</v>
      </c>
      <c r="B8" s="173">
        <v>48160.33</v>
      </c>
      <c r="C8" s="173">
        <v>51224.83</v>
      </c>
      <c r="D8" s="173">
        <v>55782.85</v>
      </c>
      <c r="E8" s="173">
        <v>61008.19</v>
      </c>
      <c r="F8" s="173">
        <v>65201.74</v>
      </c>
      <c r="G8" s="173">
        <v>68457</v>
      </c>
      <c r="H8" s="173">
        <v>72770</v>
      </c>
      <c r="I8" s="173">
        <v>75146</v>
      </c>
      <c r="J8" s="174">
        <f t="shared" si="0"/>
        <v>0.24388075008275836</v>
      </c>
      <c r="K8" s="190"/>
      <c r="L8" s="172" t="s">
        <v>197</v>
      </c>
      <c r="M8" s="173">
        <v>65201.74</v>
      </c>
      <c r="N8" s="173">
        <v>68457</v>
      </c>
      <c r="O8" s="173">
        <v>72769.69</v>
      </c>
      <c r="P8" s="173">
        <v>75146</v>
      </c>
    </row>
    <row r="9" spans="1:20" ht="15" x14ac:dyDescent="0.25">
      <c r="A9" s="172" t="s">
        <v>110</v>
      </c>
      <c r="B9" s="173">
        <v>23143.7</v>
      </c>
      <c r="C9" s="173">
        <v>23746.49</v>
      </c>
      <c r="D9" s="173">
        <v>24887.11</v>
      </c>
      <c r="E9" s="173">
        <v>26571.35</v>
      </c>
      <c r="F9" s="173">
        <v>27268.400000000001</v>
      </c>
      <c r="G9" s="173">
        <v>22562</v>
      </c>
      <c r="H9" s="173">
        <v>26394</v>
      </c>
      <c r="I9" s="173">
        <v>27953</v>
      </c>
      <c r="J9" s="174">
        <f t="shared" si="0"/>
        <v>9.0719381032434779E-2</v>
      </c>
      <c r="K9" s="190"/>
      <c r="L9" s="172" t="s">
        <v>110</v>
      </c>
      <c r="M9" s="173">
        <v>27268.400000000001</v>
      </c>
      <c r="N9" s="173">
        <v>22562</v>
      </c>
      <c r="O9" s="173">
        <v>26394</v>
      </c>
      <c r="P9" s="173">
        <v>27953</v>
      </c>
    </row>
    <row r="10" spans="1:20" ht="15" x14ac:dyDescent="0.25">
      <c r="A10" s="172" t="s">
        <v>198</v>
      </c>
      <c r="B10" s="196">
        <v>244078</v>
      </c>
      <c r="C10" s="196">
        <v>254738</v>
      </c>
      <c r="D10" s="196">
        <v>270463</v>
      </c>
      <c r="E10" s="196">
        <v>283720</v>
      </c>
      <c r="F10" s="196">
        <v>290470</v>
      </c>
      <c r="G10" s="196">
        <v>278278</v>
      </c>
      <c r="H10" s="196">
        <v>302994</v>
      </c>
      <c r="I10" s="196">
        <v>310759</v>
      </c>
      <c r="J10" s="197">
        <f>SUM(J4:J9)</f>
        <v>1</v>
      </c>
      <c r="K10" s="190"/>
      <c r="L10" s="172" t="s">
        <v>198</v>
      </c>
      <c r="M10" s="196">
        <v>290470</v>
      </c>
      <c r="N10" s="196">
        <v>278278</v>
      </c>
      <c r="O10" s="196">
        <v>302994</v>
      </c>
      <c r="P10" s="196">
        <v>310759</v>
      </c>
    </row>
    <row r="11" spans="1:20" ht="17.25" customHeight="1" x14ac:dyDescent="0.2">
      <c r="A11" s="182" t="s">
        <v>324</v>
      </c>
      <c r="B11" s="169"/>
      <c r="C11" s="169"/>
      <c r="D11" s="169"/>
      <c r="E11" s="169"/>
      <c r="F11" s="169"/>
      <c r="G11" s="169"/>
      <c r="H11" s="169"/>
      <c r="I11" s="169"/>
      <c r="J11" s="169"/>
      <c r="K11" s="191"/>
      <c r="L11" s="445" t="s">
        <v>204</v>
      </c>
      <c r="M11" s="445"/>
      <c r="N11" s="445"/>
      <c r="O11" s="366"/>
      <c r="P11" s="193"/>
      <c r="Q11" s="193"/>
      <c r="R11" s="193"/>
      <c r="S11" s="193"/>
      <c r="T11" s="193"/>
    </row>
    <row r="12" spans="1:20" ht="26.25" customHeight="1" x14ac:dyDescent="0.2">
      <c r="A12" s="427" t="s">
        <v>236</v>
      </c>
      <c r="B12" s="427"/>
      <c r="C12" s="427"/>
      <c r="D12" s="427"/>
      <c r="E12" s="427"/>
      <c r="F12" s="427"/>
      <c r="G12" s="427"/>
      <c r="H12" s="427"/>
      <c r="I12" s="427"/>
      <c r="J12" s="427"/>
      <c r="K12" s="280"/>
      <c r="L12" s="427"/>
      <c r="M12" s="427"/>
      <c r="N12" s="427"/>
      <c r="O12" s="366"/>
      <c r="P12" s="280"/>
      <c r="Q12" s="209"/>
      <c r="R12" s="209"/>
      <c r="S12" s="209"/>
      <c r="T12" s="209"/>
    </row>
    <row r="13" spans="1:20" ht="18.75" customHeight="1" thickBot="1" x14ac:dyDescent="0.25">
      <c r="G13" s="183" t="s">
        <v>201</v>
      </c>
      <c r="H13" s="183"/>
      <c r="I13" s="183"/>
      <c r="J13" s="175"/>
      <c r="K13" s="192"/>
      <c r="L13" s="185"/>
      <c r="M13" s="185"/>
      <c r="N13" s="185"/>
      <c r="O13" s="185"/>
      <c r="P13" s="185"/>
      <c r="Q13" s="185"/>
      <c r="R13" s="185"/>
      <c r="S13" s="185"/>
      <c r="T13" s="185"/>
    </row>
    <row r="14" spans="1:20" ht="25.5" x14ac:dyDescent="0.2">
      <c r="A14" s="214"/>
      <c r="B14" s="188" t="s">
        <v>189</v>
      </c>
      <c r="C14" s="188" t="s">
        <v>190</v>
      </c>
      <c r="D14" s="188" t="s">
        <v>191</v>
      </c>
      <c r="E14" s="188" t="s">
        <v>192</v>
      </c>
      <c r="F14" s="188" t="s">
        <v>216</v>
      </c>
      <c r="G14" s="188" t="s">
        <v>244</v>
      </c>
      <c r="H14" s="188" t="s">
        <v>296</v>
      </c>
      <c r="I14" s="188" t="s">
        <v>193</v>
      </c>
      <c r="L14" s="188"/>
      <c r="M14" s="188" t="s">
        <v>296</v>
      </c>
    </row>
    <row r="15" spans="1:20" ht="15" x14ac:dyDescent="0.25">
      <c r="A15" s="172" t="s">
        <v>194</v>
      </c>
      <c r="B15" s="4">
        <f t="shared" ref="B15:H21" si="1">100*(C4-B4)/B4</f>
        <v>-0.24681236729340636</v>
      </c>
      <c r="C15" s="4">
        <f t="shared" si="1"/>
        <v>0.87353292216329015</v>
      </c>
      <c r="D15" s="4">
        <f t="shared" si="1"/>
        <v>2.8571868026279663</v>
      </c>
      <c r="E15" s="4">
        <f t="shared" si="1"/>
        <v>-1.3553298822618731</v>
      </c>
      <c r="F15" s="4">
        <f t="shared" si="1"/>
        <v>-9.3685155742141628</v>
      </c>
      <c r="G15" s="4">
        <f t="shared" si="1"/>
        <v>20.868281884147091</v>
      </c>
      <c r="H15" s="4">
        <f t="shared" si="1"/>
        <v>1.5425629337186348</v>
      </c>
      <c r="I15" s="4">
        <f>100*(I4-D4)/D4</f>
        <v>12.862022744761321</v>
      </c>
      <c r="L15" s="172" t="s">
        <v>202</v>
      </c>
      <c r="M15" s="4">
        <f>100*(P4-O4)/O4</f>
        <v>2.1329274479959413</v>
      </c>
    </row>
    <row r="16" spans="1:20" ht="15" x14ac:dyDescent="0.25">
      <c r="A16" s="172" t="s">
        <v>164</v>
      </c>
      <c r="B16" s="4">
        <f t="shared" si="1"/>
        <v>1.7189806626326818</v>
      </c>
      <c r="C16" s="4">
        <f t="shared" si="1"/>
        <v>0.21251154599909125</v>
      </c>
      <c r="D16" s="4">
        <f t="shared" si="1"/>
        <v>-1.6077694429114096</v>
      </c>
      <c r="E16" s="4">
        <f t="shared" si="1"/>
        <v>-1.9792833944568737</v>
      </c>
      <c r="F16" s="4">
        <f t="shared" si="1"/>
        <v>-10.129371145786781</v>
      </c>
      <c r="G16" s="4">
        <f t="shared" si="1"/>
        <v>5.6265385066229046</v>
      </c>
      <c r="H16" s="4">
        <f t="shared" si="1"/>
        <v>17.023637776051494</v>
      </c>
      <c r="I16" s="4">
        <f t="shared" ref="I16:I21" si="2">100*(I5-D5)/D5</f>
        <v>7.1378932250243228</v>
      </c>
      <c r="L16" s="172" t="s">
        <v>164</v>
      </c>
      <c r="M16" s="4">
        <f t="shared" ref="M16:M21" si="3">100*(P5-O5)/O5</f>
        <v>13.970256872465074</v>
      </c>
    </row>
    <row r="17" spans="1:15" ht="15" x14ac:dyDescent="0.25">
      <c r="A17" s="172" t="s">
        <v>195</v>
      </c>
      <c r="B17" s="4">
        <f t="shared" si="1"/>
        <v>4.017023226153098</v>
      </c>
      <c r="C17" s="4">
        <f t="shared" si="1"/>
        <v>6.5101550534928965</v>
      </c>
      <c r="D17" s="4">
        <f t="shared" si="1"/>
        <v>1.6344559104456073</v>
      </c>
      <c r="E17" s="4">
        <f t="shared" si="1"/>
        <v>4.8825572195841751</v>
      </c>
      <c r="F17" s="4">
        <f t="shared" si="1"/>
        <v>-7.2413783431934737</v>
      </c>
      <c r="G17" s="4">
        <f t="shared" si="1"/>
        <v>6.4643442557728727</v>
      </c>
      <c r="H17" s="4">
        <f t="shared" si="1"/>
        <v>1.9357538976666318</v>
      </c>
      <c r="I17" s="4">
        <f t="shared" si="2"/>
        <v>7.3072940761791516</v>
      </c>
      <c r="L17" s="172" t="s">
        <v>195</v>
      </c>
      <c r="M17" s="4">
        <f t="shared" si="3"/>
        <v>1.9357538976666318</v>
      </c>
    </row>
    <row r="18" spans="1:15" ht="15" x14ac:dyDescent="0.25">
      <c r="A18" s="172" t="s">
        <v>196</v>
      </c>
      <c r="B18" s="4">
        <f t="shared" si="1"/>
        <v>8.2248259950562588</v>
      </c>
      <c r="C18" s="4">
        <f t="shared" si="1"/>
        <v>10.85763253693999</v>
      </c>
      <c r="D18" s="4">
        <f t="shared" si="1"/>
        <v>4.6845610365429247</v>
      </c>
      <c r="E18" s="4">
        <f t="shared" si="1"/>
        <v>-0.47318973200228881</v>
      </c>
      <c r="F18" s="4">
        <f t="shared" si="1"/>
        <v>-6.635854570007868E-2</v>
      </c>
      <c r="G18" s="4">
        <f t="shared" si="1"/>
        <v>4.6790197905816564</v>
      </c>
      <c r="H18" s="4">
        <f t="shared" si="1"/>
        <v>1.702060802848988E-2</v>
      </c>
      <c r="I18" s="4">
        <f t="shared" si="2"/>
        <v>9.010415574115207</v>
      </c>
      <c r="L18" s="172" t="s">
        <v>196</v>
      </c>
      <c r="M18" s="4">
        <f t="shared" si="3"/>
        <v>1.702060802848988E-2</v>
      </c>
    </row>
    <row r="19" spans="1:15" ht="15" x14ac:dyDescent="0.25">
      <c r="A19" s="172" t="s">
        <v>243</v>
      </c>
      <c r="B19" s="4">
        <f t="shared" si="1"/>
        <v>6.363120850708456</v>
      </c>
      <c r="C19" s="4">
        <f t="shared" si="1"/>
        <v>8.8980675972960697</v>
      </c>
      <c r="D19" s="4">
        <f t="shared" si="1"/>
        <v>9.3672876161759451</v>
      </c>
      <c r="E19" s="4">
        <f t="shared" si="1"/>
        <v>6.8737492457979741</v>
      </c>
      <c r="F19" s="4">
        <f t="shared" si="1"/>
        <v>4.9925968233363136</v>
      </c>
      <c r="G19" s="4">
        <f t="shared" si="1"/>
        <v>6.3003053011379402</v>
      </c>
      <c r="H19" s="4">
        <f t="shared" si="1"/>
        <v>3.2650817644633778</v>
      </c>
      <c r="I19" s="4">
        <f t="shared" si="2"/>
        <v>34.711654209134174</v>
      </c>
      <c r="L19" s="172" t="s">
        <v>197</v>
      </c>
      <c r="M19" s="4">
        <f t="shared" si="3"/>
        <v>3.2655216753018976</v>
      </c>
    </row>
    <row r="20" spans="1:15" ht="15" x14ac:dyDescent="0.25">
      <c r="A20" s="172" t="s">
        <v>110</v>
      </c>
      <c r="B20" s="4">
        <f t="shared" si="1"/>
        <v>2.6045532909603946</v>
      </c>
      <c r="C20" s="4">
        <f t="shared" si="1"/>
        <v>4.8033204065105997</v>
      </c>
      <c r="D20" s="4">
        <f t="shared" si="1"/>
        <v>6.7675194106507259</v>
      </c>
      <c r="E20" s="4">
        <f t="shared" si="1"/>
        <v>2.623314208724822</v>
      </c>
      <c r="F20" s="4">
        <f t="shared" si="1"/>
        <v>-17.259538513444138</v>
      </c>
      <c r="G20" s="4">
        <f t="shared" si="1"/>
        <v>16.984309901604469</v>
      </c>
      <c r="H20" s="4">
        <f t="shared" si="1"/>
        <v>5.9066454497234222</v>
      </c>
      <c r="I20" s="4">
        <f t="shared" si="2"/>
        <v>12.319188527715751</v>
      </c>
      <c r="L20" s="172" t="s">
        <v>110</v>
      </c>
      <c r="M20" s="4">
        <f t="shared" si="3"/>
        <v>5.9066454497234222</v>
      </c>
    </row>
    <row r="21" spans="1:15" ht="15" x14ac:dyDescent="0.25">
      <c r="A21" s="172" t="s">
        <v>198</v>
      </c>
      <c r="B21" s="186">
        <f t="shared" si="1"/>
        <v>4.3674563049516957</v>
      </c>
      <c r="C21" s="186">
        <f t="shared" si="1"/>
        <v>6.1730091309502315</v>
      </c>
      <c r="D21" s="186">
        <f t="shared" si="1"/>
        <v>4.9015946728387982</v>
      </c>
      <c r="E21" s="186">
        <f t="shared" si="1"/>
        <v>2.3791061610038065</v>
      </c>
      <c r="F21" s="186">
        <f t="shared" si="1"/>
        <v>-4.1973353530485076</v>
      </c>
      <c r="G21" s="186">
        <f t="shared" si="1"/>
        <v>8.8817657162980908</v>
      </c>
      <c r="H21" s="186">
        <f t="shared" si="1"/>
        <v>2.5627570182907911</v>
      </c>
      <c r="I21" s="186">
        <f t="shared" si="2"/>
        <v>14.898895597549387</v>
      </c>
      <c r="L21" s="172" t="s">
        <v>198</v>
      </c>
      <c r="M21" s="186">
        <f t="shared" si="3"/>
        <v>2.5627570182907911</v>
      </c>
    </row>
    <row r="22" spans="1:15" ht="57" customHeight="1" x14ac:dyDescent="0.2">
      <c r="A22" s="447"/>
      <c r="B22" s="447"/>
      <c r="C22" s="447"/>
      <c r="D22" s="447"/>
      <c r="E22" s="447"/>
      <c r="F22" s="447"/>
      <c r="G22" s="215"/>
      <c r="H22" s="215"/>
      <c r="I22" s="215"/>
      <c r="L22" s="446" t="s">
        <v>203</v>
      </c>
      <c r="M22" s="446"/>
      <c r="N22" s="195"/>
      <c r="O22" s="195"/>
    </row>
    <row r="23" spans="1:15" ht="30" customHeight="1" x14ac:dyDescent="0.2">
      <c r="L23" s="194"/>
      <c r="M23" s="195"/>
      <c r="N23" s="195"/>
      <c r="O23" s="195"/>
    </row>
  </sheetData>
  <mergeCells count="4">
    <mergeCell ref="L11:N12"/>
    <mergeCell ref="A12:J12"/>
    <mergeCell ref="L22:M22"/>
    <mergeCell ref="A22:F22"/>
  </mergeCells>
  <hyperlinks>
    <hyperlink ref="A2" location="Sommaire!A2" display="Retour au sommaire"/>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9"/>
  <sheetViews>
    <sheetView showGridLines="0" topLeftCell="A49" zoomScaleNormal="100" workbookViewId="0">
      <selection activeCell="A59" sqref="A59:H59"/>
    </sheetView>
  </sheetViews>
  <sheetFormatPr baseColWidth="10" defaultRowHeight="12" x14ac:dyDescent="0.2"/>
  <cols>
    <col min="1" max="1" width="20.140625" style="81" customWidth="1"/>
    <col min="2" max="2" width="12.140625" style="81" customWidth="1"/>
    <col min="3" max="3" width="8.140625" style="81" customWidth="1"/>
    <col min="4" max="4" width="9.28515625" style="81" customWidth="1"/>
    <col min="5" max="6" width="16.42578125" style="81" customWidth="1"/>
    <col min="7" max="7" width="6" style="81" customWidth="1"/>
    <col min="8" max="9" width="16.42578125" style="81" customWidth="1"/>
    <col min="10" max="10" width="11.42578125" style="81" customWidth="1"/>
    <col min="11" max="254" width="11.42578125" style="81"/>
    <col min="255" max="255" width="20.140625" style="81" customWidth="1"/>
    <col min="256" max="256" width="9.7109375" style="81" customWidth="1"/>
    <col min="257" max="257" width="12.140625" style="81" customWidth="1"/>
    <col min="258" max="258" width="7.140625" style="81" customWidth="1"/>
    <col min="259" max="259" width="8.140625" style="81" customWidth="1"/>
    <col min="260" max="260" width="9.28515625" style="81" customWidth="1"/>
    <col min="261" max="262" width="16.42578125" style="81" customWidth="1"/>
    <col min="263" max="263" width="6" style="81" customWidth="1"/>
    <col min="264" max="265" width="16.42578125" style="81" customWidth="1"/>
    <col min="266" max="266" width="11.42578125" style="81" customWidth="1"/>
    <col min="267" max="510" width="11.42578125" style="81"/>
    <col min="511" max="511" width="20.140625" style="81" customWidth="1"/>
    <col min="512" max="512" width="9.7109375" style="81" customWidth="1"/>
    <col min="513" max="513" width="12.140625" style="81" customWidth="1"/>
    <col min="514" max="514" width="7.140625" style="81" customWidth="1"/>
    <col min="515" max="515" width="8.140625" style="81" customWidth="1"/>
    <col min="516" max="516" width="9.28515625" style="81" customWidth="1"/>
    <col min="517" max="518" width="16.42578125" style="81" customWidth="1"/>
    <col min="519" max="519" width="6" style="81" customWidth="1"/>
    <col min="520" max="521" width="16.42578125" style="81" customWidth="1"/>
    <col min="522" max="522" width="11.42578125" style="81" customWidth="1"/>
    <col min="523" max="766" width="11.42578125" style="81"/>
    <col min="767" max="767" width="20.140625" style="81" customWidth="1"/>
    <col min="768" max="768" width="9.7109375" style="81" customWidth="1"/>
    <col min="769" max="769" width="12.140625" style="81" customWidth="1"/>
    <col min="770" max="770" width="7.140625" style="81" customWidth="1"/>
    <col min="771" max="771" width="8.140625" style="81" customWidth="1"/>
    <col min="772" max="772" width="9.28515625" style="81" customWidth="1"/>
    <col min="773" max="774" width="16.42578125" style="81" customWidth="1"/>
    <col min="775" max="775" width="6" style="81" customWidth="1"/>
    <col min="776" max="777" width="16.42578125" style="81" customWidth="1"/>
    <col min="778" max="778" width="11.42578125" style="81" customWidth="1"/>
    <col min="779" max="1022" width="11.42578125" style="81"/>
    <col min="1023" max="1023" width="20.140625" style="81" customWidth="1"/>
    <col min="1024" max="1024" width="9.7109375" style="81" customWidth="1"/>
    <col min="1025" max="1025" width="12.140625" style="81" customWidth="1"/>
    <col min="1026" max="1026" width="7.140625" style="81" customWidth="1"/>
    <col min="1027" max="1027" width="8.140625" style="81" customWidth="1"/>
    <col min="1028" max="1028" width="9.28515625" style="81" customWidth="1"/>
    <col min="1029" max="1030" width="16.42578125" style="81" customWidth="1"/>
    <col min="1031" max="1031" width="6" style="81" customWidth="1"/>
    <col min="1032" max="1033" width="16.42578125" style="81" customWidth="1"/>
    <col min="1034" max="1034" width="11.42578125" style="81" customWidth="1"/>
    <col min="1035" max="1278" width="11.42578125" style="81"/>
    <col min="1279" max="1279" width="20.140625" style="81" customWidth="1"/>
    <col min="1280" max="1280" width="9.7109375" style="81" customWidth="1"/>
    <col min="1281" max="1281" width="12.140625" style="81" customWidth="1"/>
    <col min="1282" max="1282" width="7.140625" style="81" customWidth="1"/>
    <col min="1283" max="1283" width="8.140625" style="81" customWidth="1"/>
    <col min="1284" max="1284" width="9.28515625" style="81" customWidth="1"/>
    <col min="1285" max="1286" width="16.42578125" style="81" customWidth="1"/>
    <col min="1287" max="1287" width="6" style="81" customWidth="1"/>
    <col min="1288" max="1289" width="16.42578125" style="81" customWidth="1"/>
    <col min="1290" max="1290" width="11.42578125" style="81" customWidth="1"/>
    <col min="1291" max="1534" width="11.42578125" style="81"/>
    <col min="1535" max="1535" width="20.140625" style="81" customWidth="1"/>
    <col min="1536" max="1536" width="9.7109375" style="81" customWidth="1"/>
    <col min="1537" max="1537" width="12.140625" style="81" customWidth="1"/>
    <col min="1538" max="1538" width="7.140625" style="81" customWidth="1"/>
    <col min="1539" max="1539" width="8.140625" style="81" customWidth="1"/>
    <col min="1540" max="1540" width="9.28515625" style="81" customWidth="1"/>
    <col min="1541" max="1542" width="16.42578125" style="81" customWidth="1"/>
    <col min="1543" max="1543" width="6" style="81" customWidth="1"/>
    <col min="1544" max="1545" width="16.42578125" style="81" customWidth="1"/>
    <col min="1546" max="1546" width="11.42578125" style="81" customWidth="1"/>
    <col min="1547" max="1790" width="11.42578125" style="81"/>
    <col min="1791" max="1791" width="20.140625" style="81" customWidth="1"/>
    <col min="1792" max="1792" width="9.7109375" style="81" customWidth="1"/>
    <col min="1793" max="1793" width="12.140625" style="81" customWidth="1"/>
    <col min="1794" max="1794" width="7.140625" style="81" customWidth="1"/>
    <col min="1795" max="1795" width="8.140625" style="81" customWidth="1"/>
    <col min="1796" max="1796" width="9.28515625" style="81" customWidth="1"/>
    <col min="1797" max="1798" width="16.42578125" style="81" customWidth="1"/>
    <col min="1799" max="1799" width="6" style="81" customWidth="1"/>
    <col min="1800" max="1801" width="16.42578125" style="81" customWidth="1"/>
    <col min="1802" max="1802" width="11.42578125" style="81" customWidth="1"/>
    <col min="1803" max="2046" width="11.42578125" style="81"/>
    <col min="2047" max="2047" width="20.140625" style="81" customWidth="1"/>
    <col min="2048" max="2048" width="9.7109375" style="81" customWidth="1"/>
    <col min="2049" max="2049" width="12.140625" style="81" customWidth="1"/>
    <col min="2050" max="2050" width="7.140625" style="81" customWidth="1"/>
    <col min="2051" max="2051" width="8.140625" style="81" customWidth="1"/>
    <col min="2052" max="2052" width="9.28515625" style="81" customWidth="1"/>
    <col min="2053" max="2054" width="16.42578125" style="81" customWidth="1"/>
    <col min="2055" max="2055" width="6" style="81" customWidth="1"/>
    <col min="2056" max="2057" width="16.42578125" style="81" customWidth="1"/>
    <col min="2058" max="2058" width="11.42578125" style="81" customWidth="1"/>
    <col min="2059" max="2302" width="11.42578125" style="81"/>
    <col min="2303" max="2303" width="20.140625" style="81" customWidth="1"/>
    <col min="2304" max="2304" width="9.7109375" style="81" customWidth="1"/>
    <col min="2305" max="2305" width="12.140625" style="81" customWidth="1"/>
    <col min="2306" max="2306" width="7.140625" style="81" customWidth="1"/>
    <col min="2307" max="2307" width="8.140625" style="81" customWidth="1"/>
    <col min="2308" max="2308" width="9.28515625" style="81" customWidth="1"/>
    <col min="2309" max="2310" width="16.42578125" style="81" customWidth="1"/>
    <col min="2311" max="2311" width="6" style="81" customWidth="1"/>
    <col min="2312" max="2313" width="16.42578125" style="81" customWidth="1"/>
    <col min="2314" max="2314" width="11.42578125" style="81" customWidth="1"/>
    <col min="2315" max="2558" width="11.42578125" style="81"/>
    <col min="2559" max="2559" width="20.140625" style="81" customWidth="1"/>
    <col min="2560" max="2560" width="9.7109375" style="81" customWidth="1"/>
    <col min="2561" max="2561" width="12.140625" style="81" customWidth="1"/>
    <col min="2562" max="2562" width="7.140625" style="81" customWidth="1"/>
    <col min="2563" max="2563" width="8.140625" style="81" customWidth="1"/>
    <col min="2564" max="2564" width="9.28515625" style="81" customWidth="1"/>
    <col min="2565" max="2566" width="16.42578125" style="81" customWidth="1"/>
    <col min="2567" max="2567" width="6" style="81" customWidth="1"/>
    <col min="2568" max="2569" width="16.42578125" style="81" customWidth="1"/>
    <col min="2570" max="2570" width="11.42578125" style="81" customWidth="1"/>
    <col min="2571" max="2814" width="11.42578125" style="81"/>
    <col min="2815" max="2815" width="20.140625" style="81" customWidth="1"/>
    <col min="2816" max="2816" width="9.7109375" style="81" customWidth="1"/>
    <col min="2817" max="2817" width="12.140625" style="81" customWidth="1"/>
    <col min="2818" max="2818" width="7.140625" style="81" customWidth="1"/>
    <col min="2819" max="2819" width="8.140625" style="81" customWidth="1"/>
    <col min="2820" max="2820" width="9.28515625" style="81" customWidth="1"/>
    <col min="2821" max="2822" width="16.42578125" style="81" customWidth="1"/>
    <col min="2823" max="2823" width="6" style="81" customWidth="1"/>
    <col min="2824" max="2825" width="16.42578125" style="81" customWidth="1"/>
    <col min="2826" max="2826" width="11.42578125" style="81" customWidth="1"/>
    <col min="2827" max="3070" width="11.42578125" style="81"/>
    <col min="3071" max="3071" width="20.140625" style="81" customWidth="1"/>
    <col min="3072" max="3072" width="9.7109375" style="81" customWidth="1"/>
    <col min="3073" max="3073" width="12.140625" style="81" customWidth="1"/>
    <col min="3074" max="3074" width="7.140625" style="81" customWidth="1"/>
    <col min="3075" max="3075" width="8.140625" style="81" customWidth="1"/>
    <col min="3076" max="3076" width="9.28515625" style="81" customWidth="1"/>
    <col min="3077" max="3078" width="16.42578125" style="81" customWidth="1"/>
    <col min="3079" max="3079" width="6" style="81" customWidth="1"/>
    <col min="3080" max="3081" width="16.42578125" style="81" customWidth="1"/>
    <col min="3082" max="3082" width="11.42578125" style="81" customWidth="1"/>
    <col min="3083" max="3326" width="11.42578125" style="81"/>
    <col min="3327" max="3327" width="20.140625" style="81" customWidth="1"/>
    <col min="3328" max="3328" width="9.7109375" style="81" customWidth="1"/>
    <col min="3329" max="3329" width="12.140625" style="81" customWidth="1"/>
    <col min="3330" max="3330" width="7.140625" style="81" customWidth="1"/>
    <col min="3331" max="3331" width="8.140625" style="81" customWidth="1"/>
    <col min="3332" max="3332" width="9.28515625" style="81" customWidth="1"/>
    <col min="3333" max="3334" width="16.42578125" style="81" customWidth="1"/>
    <col min="3335" max="3335" width="6" style="81" customWidth="1"/>
    <col min="3336" max="3337" width="16.42578125" style="81" customWidth="1"/>
    <col min="3338" max="3338" width="11.42578125" style="81" customWidth="1"/>
    <col min="3339" max="3582" width="11.42578125" style="81"/>
    <col min="3583" max="3583" width="20.140625" style="81" customWidth="1"/>
    <col min="3584" max="3584" width="9.7109375" style="81" customWidth="1"/>
    <col min="3585" max="3585" width="12.140625" style="81" customWidth="1"/>
    <col min="3586" max="3586" width="7.140625" style="81" customWidth="1"/>
    <col min="3587" max="3587" width="8.140625" style="81" customWidth="1"/>
    <col min="3588" max="3588" width="9.28515625" style="81" customWidth="1"/>
    <col min="3589" max="3590" width="16.42578125" style="81" customWidth="1"/>
    <col min="3591" max="3591" width="6" style="81" customWidth="1"/>
    <col min="3592" max="3593" width="16.42578125" style="81" customWidth="1"/>
    <col min="3594" max="3594" width="11.42578125" style="81" customWidth="1"/>
    <col min="3595" max="3838" width="11.42578125" style="81"/>
    <col min="3839" max="3839" width="20.140625" style="81" customWidth="1"/>
    <col min="3840" max="3840" width="9.7109375" style="81" customWidth="1"/>
    <col min="3841" max="3841" width="12.140625" style="81" customWidth="1"/>
    <col min="3842" max="3842" width="7.140625" style="81" customWidth="1"/>
    <col min="3843" max="3843" width="8.140625" style="81" customWidth="1"/>
    <col min="3844" max="3844" width="9.28515625" style="81" customWidth="1"/>
    <col min="3845" max="3846" width="16.42578125" style="81" customWidth="1"/>
    <col min="3847" max="3847" width="6" style="81" customWidth="1"/>
    <col min="3848" max="3849" width="16.42578125" style="81" customWidth="1"/>
    <col min="3850" max="3850" width="11.42578125" style="81" customWidth="1"/>
    <col min="3851" max="4094" width="11.42578125" style="81"/>
    <col min="4095" max="4095" width="20.140625" style="81" customWidth="1"/>
    <col min="4096" max="4096" width="9.7109375" style="81" customWidth="1"/>
    <col min="4097" max="4097" width="12.140625" style="81" customWidth="1"/>
    <col min="4098" max="4098" width="7.140625" style="81" customWidth="1"/>
    <col min="4099" max="4099" width="8.140625" style="81" customWidth="1"/>
    <col min="4100" max="4100" width="9.28515625" style="81" customWidth="1"/>
    <col min="4101" max="4102" width="16.42578125" style="81" customWidth="1"/>
    <col min="4103" max="4103" width="6" style="81" customWidth="1"/>
    <col min="4104" max="4105" width="16.42578125" style="81" customWidth="1"/>
    <col min="4106" max="4106" width="11.42578125" style="81" customWidth="1"/>
    <col min="4107" max="4350" width="11.42578125" style="81"/>
    <col min="4351" max="4351" width="20.140625" style="81" customWidth="1"/>
    <col min="4352" max="4352" width="9.7109375" style="81" customWidth="1"/>
    <col min="4353" max="4353" width="12.140625" style="81" customWidth="1"/>
    <col min="4354" max="4354" width="7.140625" style="81" customWidth="1"/>
    <col min="4355" max="4355" width="8.140625" style="81" customWidth="1"/>
    <col min="4356" max="4356" width="9.28515625" style="81" customWidth="1"/>
    <col min="4357" max="4358" width="16.42578125" style="81" customWidth="1"/>
    <col min="4359" max="4359" width="6" style="81" customWidth="1"/>
    <col min="4360" max="4361" width="16.42578125" style="81" customWidth="1"/>
    <col min="4362" max="4362" width="11.42578125" style="81" customWidth="1"/>
    <col min="4363" max="4606" width="11.42578125" style="81"/>
    <col min="4607" max="4607" width="20.140625" style="81" customWidth="1"/>
    <col min="4608" max="4608" width="9.7109375" style="81" customWidth="1"/>
    <col min="4609" max="4609" width="12.140625" style="81" customWidth="1"/>
    <col min="4610" max="4610" width="7.140625" style="81" customWidth="1"/>
    <col min="4611" max="4611" width="8.140625" style="81" customWidth="1"/>
    <col min="4612" max="4612" width="9.28515625" style="81" customWidth="1"/>
    <col min="4613" max="4614" width="16.42578125" style="81" customWidth="1"/>
    <col min="4615" max="4615" width="6" style="81" customWidth="1"/>
    <col min="4616" max="4617" width="16.42578125" style="81" customWidth="1"/>
    <col min="4618" max="4618" width="11.42578125" style="81" customWidth="1"/>
    <col min="4619" max="4862" width="11.42578125" style="81"/>
    <col min="4863" max="4863" width="20.140625" style="81" customWidth="1"/>
    <col min="4864" max="4864" width="9.7109375" style="81" customWidth="1"/>
    <col min="4865" max="4865" width="12.140625" style="81" customWidth="1"/>
    <col min="4866" max="4866" width="7.140625" style="81" customWidth="1"/>
    <col min="4867" max="4867" width="8.140625" style="81" customWidth="1"/>
    <col min="4868" max="4868" width="9.28515625" style="81" customWidth="1"/>
    <col min="4869" max="4870" width="16.42578125" style="81" customWidth="1"/>
    <col min="4871" max="4871" width="6" style="81" customWidth="1"/>
    <col min="4872" max="4873" width="16.42578125" style="81" customWidth="1"/>
    <col min="4874" max="4874" width="11.42578125" style="81" customWidth="1"/>
    <col min="4875" max="5118" width="11.42578125" style="81"/>
    <col min="5119" max="5119" width="20.140625" style="81" customWidth="1"/>
    <col min="5120" max="5120" width="9.7109375" style="81" customWidth="1"/>
    <col min="5121" max="5121" width="12.140625" style="81" customWidth="1"/>
    <col min="5122" max="5122" width="7.140625" style="81" customWidth="1"/>
    <col min="5123" max="5123" width="8.140625" style="81" customWidth="1"/>
    <col min="5124" max="5124" width="9.28515625" style="81" customWidth="1"/>
    <col min="5125" max="5126" width="16.42578125" style="81" customWidth="1"/>
    <col min="5127" max="5127" width="6" style="81" customWidth="1"/>
    <col min="5128" max="5129" width="16.42578125" style="81" customWidth="1"/>
    <col min="5130" max="5130" width="11.42578125" style="81" customWidth="1"/>
    <col min="5131" max="5374" width="11.42578125" style="81"/>
    <col min="5375" max="5375" width="20.140625" style="81" customWidth="1"/>
    <col min="5376" max="5376" width="9.7109375" style="81" customWidth="1"/>
    <col min="5377" max="5377" width="12.140625" style="81" customWidth="1"/>
    <col min="5378" max="5378" width="7.140625" style="81" customWidth="1"/>
    <col min="5379" max="5379" width="8.140625" style="81" customWidth="1"/>
    <col min="5380" max="5380" width="9.28515625" style="81" customWidth="1"/>
    <col min="5381" max="5382" width="16.42578125" style="81" customWidth="1"/>
    <col min="5383" max="5383" width="6" style="81" customWidth="1"/>
    <col min="5384" max="5385" width="16.42578125" style="81" customWidth="1"/>
    <col min="5386" max="5386" width="11.42578125" style="81" customWidth="1"/>
    <col min="5387" max="5630" width="11.42578125" style="81"/>
    <col min="5631" max="5631" width="20.140625" style="81" customWidth="1"/>
    <col min="5632" max="5632" width="9.7109375" style="81" customWidth="1"/>
    <col min="5633" max="5633" width="12.140625" style="81" customWidth="1"/>
    <col min="5634" max="5634" width="7.140625" style="81" customWidth="1"/>
    <col min="5635" max="5635" width="8.140625" style="81" customWidth="1"/>
    <col min="5636" max="5636" width="9.28515625" style="81" customWidth="1"/>
    <col min="5637" max="5638" width="16.42578125" style="81" customWidth="1"/>
    <col min="5639" max="5639" width="6" style="81" customWidth="1"/>
    <col min="5640" max="5641" width="16.42578125" style="81" customWidth="1"/>
    <col min="5642" max="5642" width="11.42578125" style="81" customWidth="1"/>
    <col min="5643" max="5886" width="11.42578125" style="81"/>
    <col min="5887" max="5887" width="20.140625" style="81" customWidth="1"/>
    <col min="5888" max="5888" width="9.7109375" style="81" customWidth="1"/>
    <col min="5889" max="5889" width="12.140625" style="81" customWidth="1"/>
    <col min="5890" max="5890" width="7.140625" style="81" customWidth="1"/>
    <col min="5891" max="5891" width="8.140625" style="81" customWidth="1"/>
    <col min="5892" max="5892" width="9.28515625" style="81" customWidth="1"/>
    <col min="5893" max="5894" width="16.42578125" style="81" customWidth="1"/>
    <col min="5895" max="5895" width="6" style="81" customWidth="1"/>
    <col min="5896" max="5897" width="16.42578125" style="81" customWidth="1"/>
    <col min="5898" max="5898" width="11.42578125" style="81" customWidth="1"/>
    <col min="5899" max="6142" width="11.42578125" style="81"/>
    <col min="6143" max="6143" width="20.140625" style="81" customWidth="1"/>
    <col min="6144" max="6144" width="9.7109375" style="81" customWidth="1"/>
    <col min="6145" max="6145" width="12.140625" style="81" customWidth="1"/>
    <col min="6146" max="6146" width="7.140625" style="81" customWidth="1"/>
    <col min="6147" max="6147" width="8.140625" style="81" customWidth="1"/>
    <col min="6148" max="6148" width="9.28515625" style="81" customWidth="1"/>
    <col min="6149" max="6150" width="16.42578125" style="81" customWidth="1"/>
    <col min="6151" max="6151" width="6" style="81" customWidth="1"/>
    <col min="6152" max="6153" width="16.42578125" style="81" customWidth="1"/>
    <col min="6154" max="6154" width="11.42578125" style="81" customWidth="1"/>
    <col min="6155" max="6398" width="11.42578125" style="81"/>
    <col min="6399" max="6399" width="20.140625" style="81" customWidth="1"/>
    <col min="6400" max="6400" width="9.7109375" style="81" customWidth="1"/>
    <col min="6401" max="6401" width="12.140625" style="81" customWidth="1"/>
    <col min="6402" max="6402" width="7.140625" style="81" customWidth="1"/>
    <col min="6403" max="6403" width="8.140625" style="81" customWidth="1"/>
    <col min="6404" max="6404" width="9.28515625" style="81" customWidth="1"/>
    <col min="6405" max="6406" width="16.42578125" style="81" customWidth="1"/>
    <col min="6407" max="6407" width="6" style="81" customWidth="1"/>
    <col min="6408" max="6409" width="16.42578125" style="81" customWidth="1"/>
    <col min="6410" max="6410" width="11.42578125" style="81" customWidth="1"/>
    <col min="6411" max="6654" width="11.42578125" style="81"/>
    <col min="6655" max="6655" width="20.140625" style="81" customWidth="1"/>
    <col min="6656" max="6656" width="9.7109375" style="81" customWidth="1"/>
    <col min="6657" max="6657" width="12.140625" style="81" customWidth="1"/>
    <col min="6658" max="6658" width="7.140625" style="81" customWidth="1"/>
    <col min="6659" max="6659" width="8.140625" style="81" customWidth="1"/>
    <col min="6660" max="6660" width="9.28515625" style="81" customWidth="1"/>
    <col min="6661" max="6662" width="16.42578125" style="81" customWidth="1"/>
    <col min="6663" max="6663" width="6" style="81" customWidth="1"/>
    <col min="6664" max="6665" width="16.42578125" style="81" customWidth="1"/>
    <col min="6666" max="6666" width="11.42578125" style="81" customWidth="1"/>
    <col min="6667" max="6910" width="11.42578125" style="81"/>
    <col min="6911" max="6911" width="20.140625" style="81" customWidth="1"/>
    <col min="6912" max="6912" width="9.7109375" style="81" customWidth="1"/>
    <col min="6913" max="6913" width="12.140625" style="81" customWidth="1"/>
    <col min="6914" max="6914" width="7.140625" style="81" customWidth="1"/>
    <col min="6915" max="6915" width="8.140625" style="81" customWidth="1"/>
    <col min="6916" max="6916" width="9.28515625" style="81" customWidth="1"/>
    <col min="6917" max="6918" width="16.42578125" style="81" customWidth="1"/>
    <col min="6919" max="6919" width="6" style="81" customWidth="1"/>
    <col min="6920" max="6921" width="16.42578125" style="81" customWidth="1"/>
    <col min="6922" max="6922" width="11.42578125" style="81" customWidth="1"/>
    <col min="6923" max="7166" width="11.42578125" style="81"/>
    <col min="7167" max="7167" width="20.140625" style="81" customWidth="1"/>
    <col min="7168" max="7168" width="9.7109375" style="81" customWidth="1"/>
    <col min="7169" max="7169" width="12.140625" style="81" customWidth="1"/>
    <col min="7170" max="7170" width="7.140625" style="81" customWidth="1"/>
    <col min="7171" max="7171" width="8.140625" style="81" customWidth="1"/>
    <col min="7172" max="7172" width="9.28515625" style="81" customWidth="1"/>
    <col min="7173" max="7174" width="16.42578125" style="81" customWidth="1"/>
    <col min="7175" max="7175" width="6" style="81" customWidth="1"/>
    <col min="7176" max="7177" width="16.42578125" style="81" customWidth="1"/>
    <col min="7178" max="7178" width="11.42578125" style="81" customWidth="1"/>
    <col min="7179" max="7422" width="11.42578125" style="81"/>
    <col min="7423" max="7423" width="20.140625" style="81" customWidth="1"/>
    <col min="7424" max="7424" width="9.7109375" style="81" customWidth="1"/>
    <col min="7425" max="7425" width="12.140625" style="81" customWidth="1"/>
    <col min="7426" max="7426" width="7.140625" style="81" customWidth="1"/>
    <col min="7427" max="7427" width="8.140625" style="81" customWidth="1"/>
    <col min="7428" max="7428" width="9.28515625" style="81" customWidth="1"/>
    <col min="7429" max="7430" width="16.42578125" style="81" customWidth="1"/>
    <col min="7431" max="7431" width="6" style="81" customWidth="1"/>
    <col min="7432" max="7433" width="16.42578125" style="81" customWidth="1"/>
    <col min="7434" max="7434" width="11.42578125" style="81" customWidth="1"/>
    <col min="7435" max="7678" width="11.42578125" style="81"/>
    <col min="7679" max="7679" width="20.140625" style="81" customWidth="1"/>
    <col min="7680" max="7680" width="9.7109375" style="81" customWidth="1"/>
    <col min="7681" max="7681" width="12.140625" style="81" customWidth="1"/>
    <col min="7682" max="7682" width="7.140625" style="81" customWidth="1"/>
    <col min="7683" max="7683" width="8.140625" style="81" customWidth="1"/>
    <col min="7684" max="7684" width="9.28515625" style="81" customWidth="1"/>
    <col min="7685" max="7686" width="16.42578125" style="81" customWidth="1"/>
    <col min="7687" max="7687" width="6" style="81" customWidth="1"/>
    <col min="7688" max="7689" width="16.42578125" style="81" customWidth="1"/>
    <col min="7690" max="7690" width="11.42578125" style="81" customWidth="1"/>
    <col min="7691" max="7934" width="11.42578125" style="81"/>
    <col min="7935" max="7935" width="20.140625" style="81" customWidth="1"/>
    <col min="7936" max="7936" width="9.7109375" style="81" customWidth="1"/>
    <col min="7937" max="7937" width="12.140625" style="81" customWidth="1"/>
    <col min="7938" max="7938" width="7.140625" style="81" customWidth="1"/>
    <col min="7939" max="7939" width="8.140625" style="81" customWidth="1"/>
    <col min="7940" max="7940" width="9.28515625" style="81" customWidth="1"/>
    <col min="7941" max="7942" width="16.42578125" style="81" customWidth="1"/>
    <col min="7943" max="7943" width="6" style="81" customWidth="1"/>
    <col min="7944" max="7945" width="16.42578125" style="81" customWidth="1"/>
    <col min="7946" max="7946" width="11.42578125" style="81" customWidth="1"/>
    <col min="7947" max="8190" width="11.42578125" style="81"/>
    <col min="8191" max="8191" width="20.140625" style="81" customWidth="1"/>
    <col min="8192" max="8192" width="9.7109375" style="81" customWidth="1"/>
    <col min="8193" max="8193" width="12.140625" style="81" customWidth="1"/>
    <col min="8194" max="8194" width="7.140625" style="81" customWidth="1"/>
    <col min="8195" max="8195" width="8.140625" style="81" customWidth="1"/>
    <col min="8196" max="8196" width="9.28515625" style="81" customWidth="1"/>
    <col min="8197" max="8198" width="16.42578125" style="81" customWidth="1"/>
    <col min="8199" max="8199" width="6" style="81" customWidth="1"/>
    <col min="8200" max="8201" width="16.42578125" style="81" customWidth="1"/>
    <col min="8202" max="8202" width="11.42578125" style="81" customWidth="1"/>
    <col min="8203" max="8446" width="11.42578125" style="81"/>
    <col min="8447" max="8447" width="20.140625" style="81" customWidth="1"/>
    <col min="8448" max="8448" width="9.7109375" style="81" customWidth="1"/>
    <col min="8449" max="8449" width="12.140625" style="81" customWidth="1"/>
    <col min="8450" max="8450" width="7.140625" style="81" customWidth="1"/>
    <col min="8451" max="8451" width="8.140625" style="81" customWidth="1"/>
    <col min="8452" max="8452" width="9.28515625" style="81" customWidth="1"/>
    <col min="8453" max="8454" width="16.42578125" style="81" customWidth="1"/>
    <col min="8455" max="8455" width="6" style="81" customWidth="1"/>
    <col min="8456" max="8457" width="16.42578125" style="81" customWidth="1"/>
    <col min="8458" max="8458" width="11.42578125" style="81" customWidth="1"/>
    <col min="8459" max="8702" width="11.42578125" style="81"/>
    <col min="8703" max="8703" width="20.140625" style="81" customWidth="1"/>
    <col min="8704" max="8704" width="9.7109375" style="81" customWidth="1"/>
    <col min="8705" max="8705" width="12.140625" style="81" customWidth="1"/>
    <col min="8706" max="8706" width="7.140625" style="81" customWidth="1"/>
    <col min="8707" max="8707" width="8.140625" style="81" customWidth="1"/>
    <col min="8708" max="8708" width="9.28515625" style="81" customWidth="1"/>
    <col min="8709" max="8710" width="16.42578125" style="81" customWidth="1"/>
    <col min="8711" max="8711" width="6" style="81" customWidth="1"/>
    <col min="8712" max="8713" width="16.42578125" style="81" customWidth="1"/>
    <col min="8714" max="8714" width="11.42578125" style="81" customWidth="1"/>
    <col min="8715" max="8958" width="11.42578125" style="81"/>
    <col min="8959" max="8959" width="20.140625" style="81" customWidth="1"/>
    <col min="8960" max="8960" width="9.7109375" style="81" customWidth="1"/>
    <col min="8961" max="8961" width="12.140625" style="81" customWidth="1"/>
    <col min="8962" max="8962" width="7.140625" style="81" customWidth="1"/>
    <col min="8963" max="8963" width="8.140625" style="81" customWidth="1"/>
    <col min="8964" max="8964" width="9.28515625" style="81" customWidth="1"/>
    <col min="8965" max="8966" width="16.42578125" style="81" customWidth="1"/>
    <col min="8967" max="8967" width="6" style="81" customWidth="1"/>
    <col min="8968" max="8969" width="16.42578125" style="81" customWidth="1"/>
    <col min="8970" max="8970" width="11.42578125" style="81" customWidth="1"/>
    <col min="8971" max="9214" width="11.42578125" style="81"/>
    <col min="9215" max="9215" width="20.140625" style="81" customWidth="1"/>
    <col min="9216" max="9216" width="9.7109375" style="81" customWidth="1"/>
    <col min="9217" max="9217" width="12.140625" style="81" customWidth="1"/>
    <col min="9218" max="9218" width="7.140625" style="81" customWidth="1"/>
    <col min="9219" max="9219" width="8.140625" style="81" customWidth="1"/>
    <col min="9220" max="9220" width="9.28515625" style="81" customWidth="1"/>
    <col min="9221" max="9222" width="16.42578125" style="81" customWidth="1"/>
    <col min="9223" max="9223" width="6" style="81" customWidth="1"/>
    <col min="9224" max="9225" width="16.42578125" style="81" customWidth="1"/>
    <col min="9226" max="9226" width="11.42578125" style="81" customWidth="1"/>
    <col min="9227" max="9470" width="11.42578125" style="81"/>
    <col min="9471" max="9471" width="20.140625" style="81" customWidth="1"/>
    <col min="9472" max="9472" width="9.7109375" style="81" customWidth="1"/>
    <col min="9473" max="9473" width="12.140625" style="81" customWidth="1"/>
    <col min="9474" max="9474" width="7.140625" style="81" customWidth="1"/>
    <col min="9475" max="9475" width="8.140625" style="81" customWidth="1"/>
    <col min="9476" max="9476" width="9.28515625" style="81" customWidth="1"/>
    <col min="9477" max="9478" width="16.42578125" style="81" customWidth="1"/>
    <col min="9479" max="9479" width="6" style="81" customWidth="1"/>
    <col min="9480" max="9481" width="16.42578125" style="81" customWidth="1"/>
    <col min="9482" max="9482" width="11.42578125" style="81" customWidth="1"/>
    <col min="9483" max="9726" width="11.42578125" style="81"/>
    <col min="9727" max="9727" width="20.140625" style="81" customWidth="1"/>
    <col min="9728" max="9728" width="9.7109375" style="81" customWidth="1"/>
    <col min="9729" max="9729" width="12.140625" style="81" customWidth="1"/>
    <col min="9730" max="9730" width="7.140625" style="81" customWidth="1"/>
    <col min="9731" max="9731" width="8.140625" style="81" customWidth="1"/>
    <col min="9732" max="9732" width="9.28515625" style="81" customWidth="1"/>
    <col min="9733" max="9734" width="16.42578125" style="81" customWidth="1"/>
    <col min="9735" max="9735" width="6" style="81" customWidth="1"/>
    <col min="9736" max="9737" width="16.42578125" style="81" customWidth="1"/>
    <col min="9738" max="9738" width="11.42578125" style="81" customWidth="1"/>
    <col min="9739" max="9982" width="11.42578125" style="81"/>
    <col min="9983" max="9983" width="20.140625" style="81" customWidth="1"/>
    <col min="9984" max="9984" width="9.7109375" style="81" customWidth="1"/>
    <col min="9985" max="9985" width="12.140625" style="81" customWidth="1"/>
    <col min="9986" max="9986" width="7.140625" style="81" customWidth="1"/>
    <col min="9987" max="9987" width="8.140625" style="81" customWidth="1"/>
    <col min="9988" max="9988" width="9.28515625" style="81" customWidth="1"/>
    <col min="9989" max="9990" width="16.42578125" style="81" customWidth="1"/>
    <col min="9991" max="9991" width="6" style="81" customWidth="1"/>
    <col min="9992" max="9993" width="16.42578125" style="81" customWidth="1"/>
    <col min="9994" max="9994" width="11.42578125" style="81" customWidth="1"/>
    <col min="9995" max="10238" width="11.42578125" style="81"/>
    <col min="10239" max="10239" width="20.140625" style="81" customWidth="1"/>
    <col min="10240" max="10240" width="9.7109375" style="81" customWidth="1"/>
    <col min="10241" max="10241" width="12.140625" style="81" customWidth="1"/>
    <col min="10242" max="10242" width="7.140625" style="81" customWidth="1"/>
    <col min="10243" max="10243" width="8.140625" style="81" customWidth="1"/>
    <col min="10244" max="10244" width="9.28515625" style="81" customWidth="1"/>
    <col min="10245" max="10246" width="16.42578125" style="81" customWidth="1"/>
    <col min="10247" max="10247" width="6" style="81" customWidth="1"/>
    <col min="10248" max="10249" width="16.42578125" style="81" customWidth="1"/>
    <col min="10250" max="10250" width="11.42578125" style="81" customWidth="1"/>
    <col min="10251" max="10494" width="11.42578125" style="81"/>
    <col min="10495" max="10495" width="20.140625" style="81" customWidth="1"/>
    <col min="10496" max="10496" width="9.7109375" style="81" customWidth="1"/>
    <col min="10497" max="10497" width="12.140625" style="81" customWidth="1"/>
    <col min="10498" max="10498" width="7.140625" style="81" customWidth="1"/>
    <col min="10499" max="10499" width="8.140625" style="81" customWidth="1"/>
    <col min="10500" max="10500" width="9.28515625" style="81" customWidth="1"/>
    <col min="10501" max="10502" width="16.42578125" style="81" customWidth="1"/>
    <col min="10503" max="10503" width="6" style="81" customWidth="1"/>
    <col min="10504" max="10505" width="16.42578125" style="81" customWidth="1"/>
    <col min="10506" max="10506" width="11.42578125" style="81" customWidth="1"/>
    <col min="10507" max="10750" width="11.42578125" style="81"/>
    <col min="10751" max="10751" width="20.140625" style="81" customWidth="1"/>
    <col min="10752" max="10752" width="9.7109375" style="81" customWidth="1"/>
    <col min="10753" max="10753" width="12.140625" style="81" customWidth="1"/>
    <col min="10754" max="10754" width="7.140625" style="81" customWidth="1"/>
    <col min="10755" max="10755" width="8.140625" style="81" customWidth="1"/>
    <col min="10756" max="10756" width="9.28515625" style="81" customWidth="1"/>
    <col min="10757" max="10758" width="16.42578125" style="81" customWidth="1"/>
    <col min="10759" max="10759" width="6" style="81" customWidth="1"/>
    <col min="10760" max="10761" width="16.42578125" style="81" customWidth="1"/>
    <col min="10762" max="10762" width="11.42578125" style="81" customWidth="1"/>
    <col min="10763" max="11006" width="11.42578125" style="81"/>
    <col min="11007" max="11007" width="20.140625" style="81" customWidth="1"/>
    <col min="11008" max="11008" width="9.7109375" style="81" customWidth="1"/>
    <col min="11009" max="11009" width="12.140625" style="81" customWidth="1"/>
    <col min="11010" max="11010" width="7.140625" style="81" customWidth="1"/>
    <col min="11011" max="11011" width="8.140625" style="81" customWidth="1"/>
    <col min="11012" max="11012" width="9.28515625" style="81" customWidth="1"/>
    <col min="11013" max="11014" width="16.42578125" style="81" customWidth="1"/>
    <col min="11015" max="11015" width="6" style="81" customWidth="1"/>
    <col min="11016" max="11017" width="16.42578125" style="81" customWidth="1"/>
    <col min="11018" max="11018" width="11.42578125" style="81" customWidth="1"/>
    <col min="11019" max="11262" width="11.42578125" style="81"/>
    <col min="11263" max="11263" width="20.140625" style="81" customWidth="1"/>
    <col min="11264" max="11264" width="9.7109375" style="81" customWidth="1"/>
    <col min="11265" max="11265" width="12.140625" style="81" customWidth="1"/>
    <col min="11266" max="11266" width="7.140625" style="81" customWidth="1"/>
    <col min="11267" max="11267" width="8.140625" style="81" customWidth="1"/>
    <col min="11268" max="11268" width="9.28515625" style="81" customWidth="1"/>
    <col min="11269" max="11270" width="16.42578125" style="81" customWidth="1"/>
    <col min="11271" max="11271" width="6" style="81" customWidth="1"/>
    <col min="11272" max="11273" width="16.42578125" style="81" customWidth="1"/>
    <col min="11274" max="11274" width="11.42578125" style="81" customWidth="1"/>
    <col min="11275" max="11518" width="11.42578125" style="81"/>
    <col min="11519" max="11519" width="20.140625" style="81" customWidth="1"/>
    <col min="11520" max="11520" width="9.7109375" style="81" customWidth="1"/>
    <col min="11521" max="11521" width="12.140625" style="81" customWidth="1"/>
    <col min="11522" max="11522" width="7.140625" style="81" customWidth="1"/>
    <col min="11523" max="11523" width="8.140625" style="81" customWidth="1"/>
    <col min="11524" max="11524" width="9.28515625" style="81" customWidth="1"/>
    <col min="11525" max="11526" width="16.42578125" style="81" customWidth="1"/>
    <col min="11527" max="11527" width="6" style="81" customWidth="1"/>
    <col min="11528" max="11529" width="16.42578125" style="81" customWidth="1"/>
    <col min="11530" max="11530" width="11.42578125" style="81" customWidth="1"/>
    <col min="11531" max="11774" width="11.42578125" style="81"/>
    <col min="11775" max="11775" width="20.140625" style="81" customWidth="1"/>
    <col min="11776" max="11776" width="9.7109375" style="81" customWidth="1"/>
    <col min="11777" max="11777" width="12.140625" style="81" customWidth="1"/>
    <col min="11778" max="11778" width="7.140625" style="81" customWidth="1"/>
    <col min="11779" max="11779" width="8.140625" style="81" customWidth="1"/>
    <col min="11780" max="11780" width="9.28515625" style="81" customWidth="1"/>
    <col min="11781" max="11782" width="16.42578125" style="81" customWidth="1"/>
    <col min="11783" max="11783" width="6" style="81" customWidth="1"/>
    <col min="11784" max="11785" width="16.42578125" style="81" customWidth="1"/>
    <col min="11786" max="11786" width="11.42578125" style="81" customWidth="1"/>
    <col min="11787" max="12030" width="11.42578125" style="81"/>
    <col min="12031" max="12031" width="20.140625" style="81" customWidth="1"/>
    <col min="12032" max="12032" width="9.7109375" style="81" customWidth="1"/>
    <col min="12033" max="12033" width="12.140625" style="81" customWidth="1"/>
    <col min="12034" max="12034" width="7.140625" style="81" customWidth="1"/>
    <col min="12035" max="12035" width="8.140625" style="81" customWidth="1"/>
    <col min="12036" max="12036" width="9.28515625" style="81" customWidth="1"/>
    <col min="12037" max="12038" width="16.42578125" style="81" customWidth="1"/>
    <col min="12039" max="12039" width="6" style="81" customWidth="1"/>
    <col min="12040" max="12041" width="16.42578125" style="81" customWidth="1"/>
    <col min="12042" max="12042" width="11.42578125" style="81" customWidth="1"/>
    <col min="12043" max="12286" width="11.42578125" style="81"/>
    <col min="12287" max="12287" width="20.140625" style="81" customWidth="1"/>
    <col min="12288" max="12288" width="9.7109375" style="81" customWidth="1"/>
    <col min="12289" max="12289" width="12.140625" style="81" customWidth="1"/>
    <col min="12290" max="12290" width="7.140625" style="81" customWidth="1"/>
    <col min="12291" max="12291" width="8.140625" style="81" customWidth="1"/>
    <col min="12292" max="12292" width="9.28515625" style="81" customWidth="1"/>
    <col min="12293" max="12294" width="16.42578125" style="81" customWidth="1"/>
    <col min="12295" max="12295" width="6" style="81" customWidth="1"/>
    <col min="12296" max="12297" width="16.42578125" style="81" customWidth="1"/>
    <col min="12298" max="12298" width="11.42578125" style="81" customWidth="1"/>
    <col min="12299" max="12542" width="11.42578125" style="81"/>
    <col min="12543" max="12543" width="20.140625" style="81" customWidth="1"/>
    <col min="12544" max="12544" width="9.7109375" style="81" customWidth="1"/>
    <col min="12545" max="12545" width="12.140625" style="81" customWidth="1"/>
    <col min="12546" max="12546" width="7.140625" style="81" customWidth="1"/>
    <col min="12547" max="12547" width="8.140625" style="81" customWidth="1"/>
    <col min="12548" max="12548" width="9.28515625" style="81" customWidth="1"/>
    <col min="12549" max="12550" width="16.42578125" style="81" customWidth="1"/>
    <col min="12551" max="12551" width="6" style="81" customWidth="1"/>
    <col min="12552" max="12553" width="16.42578125" style="81" customWidth="1"/>
    <col min="12554" max="12554" width="11.42578125" style="81" customWidth="1"/>
    <col min="12555" max="12798" width="11.42578125" style="81"/>
    <col min="12799" max="12799" width="20.140625" style="81" customWidth="1"/>
    <col min="12800" max="12800" width="9.7109375" style="81" customWidth="1"/>
    <col min="12801" max="12801" width="12.140625" style="81" customWidth="1"/>
    <col min="12802" max="12802" width="7.140625" style="81" customWidth="1"/>
    <col min="12803" max="12803" width="8.140625" style="81" customWidth="1"/>
    <col min="12804" max="12804" width="9.28515625" style="81" customWidth="1"/>
    <col min="12805" max="12806" width="16.42578125" style="81" customWidth="1"/>
    <col min="12807" max="12807" width="6" style="81" customWidth="1"/>
    <col min="12808" max="12809" width="16.42578125" style="81" customWidth="1"/>
    <col min="12810" max="12810" width="11.42578125" style="81" customWidth="1"/>
    <col min="12811" max="13054" width="11.42578125" style="81"/>
    <col min="13055" max="13055" width="20.140625" style="81" customWidth="1"/>
    <col min="13056" max="13056" width="9.7109375" style="81" customWidth="1"/>
    <col min="13057" max="13057" width="12.140625" style="81" customWidth="1"/>
    <col min="13058" max="13058" width="7.140625" style="81" customWidth="1"/>
    <col min="13059" max="13059" width="8.140625" style="81" customWidth="1"/>
    <col min="13060" max="13060" width="9.28515625" style="81" customWidth="1"/>
    <col min="13061" max="13062" width="16.42578125" style="81" customWidth="1"/>
    <col min="13063" max="13063" width="6" style="81" customWidth="1"/>
    <col min="13064" max="13065" width="16.42578125" style="81" customWidth="1"/>
    <col min="13066" max="13066" width="11.42578125" style="81" customWidth="1"/>
    <col min="13067" max="13310" width="11.42578125" style="81"/>
    <col min="13311" max="13311" width="20.140625" style="81" customWidth="1"/>
    <col min="13312" max="13312" width="9.7109375" style="81" customWidth="1"/>
    <col min="13313" max="13313" width="12.140625" style="81" customWidth="1"/>
    <col min="13314" max="13314" width="7.140625" style="81" customWidth="1"/>
    <col min="13315" max="13315" width="8.140625" style="81" customWidth="1"/>
    <col min="13316" max="13316" width="9.28515625" style="81" customWidth="1"/>
    <col min="13317" max="13318" width="16.42578125" style="81" customWidth="1"/>
    <col min="13319" max="13319" width="6" style="81" customWidth="1"/>
    <col min="13320" max="13321" width="16.42578125" style="81" customWidth="1"/>
    <col min="13322" max="13322" width="11.42578125" style="81" customWidth="1"/>
    <col min="13323" max="13566" width="11.42578125" style="81"/>
    <col min="13567" max="13567" width="20.140625" style="81" customWidth="1"/>
    <col min="13568" max="13568" width="9.7109375" style="81" customWidth="1"/>
    <col min="13569" max="13569" width="12.140625" style="81" customWidth="1"/>
    <col min="13570" max="13570" width="7.140625" style="81" customWidth="1"/>
    <col min="13571" max="13571" width="8.140625" style="81" customWidth="1"/>
    <col min="13572" max="13572" width="9.28515625" style="81" customWidth="1"/>
    <col min="13573" max="13574" width="16.42578125" style="81" customWidth="1"/>
    <col min="13575" max="13575" width="6" style="81" customWidth="1"/>
    <col min="13576" max="13577" width="16.42578125" style="81" customWidth="1"/>
    <col min="13578" max="13578" width="11.42578125" style="81" customWidth="1"/>
    <col min="13579" max="13822" width="11.42578125" style="81"/>
    <col min="13823" max="13823" width="20.140625" style="81" customWidth="1"/>
    <col min="13824" max="13824" width="9.7109375" style="81" customWidth="1"/>
    <col min="13825" max="13825" width="12.140625" style="81" customWidth="1"/>
    <col min="13826" max="13826" width="7.140625" style="81" customWidth="1"/>
    <col min="13827" max="13827" width="8.140625" style="81" customWidth="1"/>
    <col min="13828" max="13828" width="9.28515625" style="81" customWidth="1"/>
    <col min="13829" max="13830" width="16.42578125" style="81" customWidth="1"/>
    <col min="13831" max="13831" width="6" style="81" customWidth="1"/>
    <col min="13832" max="13833" width="16.42578125" style="81" customWidth="1"/>
    <col min="13834" max="13834" width="11.42578125" style="81" customWidth="1"/>
    <col min="13835" max="14078" width="11.42578125" style="81"/>
    <col min="14079" max="14079" width="20.140625" style="81" customWidth="1"/>
    <col min="14080" max="14080" width="9.7109375" style="81" customWidth="1"/>
    <col min="14081" max="14081" width="12.140625" style="81" customWidth="1"/>
    <col min="14082" max="14082" width="7.140625" style="81" customWidth="1"/>
    <col min="14083" max="14083" width="8.140625" style="81" customWidth="1"/>
    <col min="14084" max="14084" width="9.28515625" style="81" customWidth="1"/>
    <col min="14085" max="14086" width="16.42578125" style="81" customWidth="1"/>
    <col min="14087" max="14087" width="6" style="81" customWidth="1"/>
    <col min="14088" max="14089" width="16.42578125" style="81" customWidth="1"/>
    <col min="14090" max="14090" width="11.42578125" style="81" customWidth="1"/>
    <col min="14091" max="14334" width="11.42578125" style="81"/>
    <col min="14335" max="14335" width="20.140625" style="81" customWidth="1"/>
    <col min="14336" max="14336" width="9.7109375" style="81" customWidth="1"/>
    <col min="14337" max="14337" width="12.140625" style="81" customWidth="1"/>
    <col min="14338" max="14338" width="7.140625" style="81" customWidth="1"/>
    <col min="14339" max="14339" width="8.140625" style="81" customWidth="1"/>
    <col min="14340" max="14340" width="9.28515625" style="81" customWidth="1"/>
    <col min="14341" max="14342" width="16.42578125" style="81" customWidth="1"/>
    <col min="14343" max="14343" width="6" style="81" customWidth="1"/>
    <col min="14344" max="14345" width="16.42578125" style="81" customWidth="1"/>
    <col min="14346" max="14346" width="11.42578125" style="81" customWidth="1"/>
    <col min="14347" max="14590" width="11.42578125" style="81"/>
    <col min="14591" max="14591" width="20.140625" style="81" customWidth="1"/>
    <col min="14592" max="14592" width="9.7109375" style="81" customWidth="1"/>
    <col min="14593" max="14593" width="12.140625" style="81" customWidth="1"/>
    <col min="14594" max="14594" width="7.140625" style="81" customWidth="1"/>
    <col min="14595" max="14595" width="8.140625" style="81" customWidth="1"/>
    <col min="14596" max="14596" width="9.28515625" style="81" customWidth="1"/>
    <col min="14597" max="14598" width="16.42578125" style="81" customWidth="1"/>
    <col min="14599" max="14599" width="6" style="81" customWidth="1"/>
    <col min="14600" max="14601" width="16.42578125" style="81" customWidth="1"/>
    <col min="14602" max="14602" width="11.42578125" style="81" customWidth="1"/>
    <col min="14603" max="14846" width="11.42578125" style="81"/>
    <col min="14847" max="14847" width="20.140625" style="81" customWidth="1"/>
    <col min="14848" max="14848" width="9.7109375" style="81" customWidth="1"/>
    <col min="14849" max="14849" width="12.140625" style="81" customWidth="1"/>
    <col min="14850" max="14850" width="7.140625" style="81" customWidth="1"/>
    <col min="14851" max="14851" width="8.140625" style="81" customWidth="1"/>
    <col min="14852" max="14852" width="9.28515625" style="81" customWidth="1"/>
    <col min="14853" max="14854" width="16.42578125" style="81" customWidth="1"/>
    <col min="14855" max="14855" width="6" style="81" customWidth="1"/>
    <col min="14856" max="14857" width="16.42578125" style="81" customWidth="1"/>
    <col min="14858" max="14858" width="11.42578125" style="81" customWidth="1"/>
    <col min="14859" max="15102" width="11.42578125" style="81"/>
    <col min="15103" max="15103" width="20.140625" style="81" customWidth="1"/>
    <col min="15104" max="15104" width="9.7109375" style="81" customWidth="1"/>
    <col min="15105" max="15105" width="12.140625" style="81" customWidth="1"/>
    <col min="15106" max="15106" width="7.140625" style="81" customWidth="1"/>
    <col min="15107" max="15107" width="8.140625" style="81" customWidth="1"/>
    <col min="15108" max="15108" width="9.28515625" style="81" customWidth="1"/>
    <col min="15109" max="15110" width="16.42578125" style="81" customWidth="1"/>
    <col min="15111" max="15111" width="6" style="81" customWidth="1"/>
    <col min="15112" max="15113" width="16.42578125" style="81" customWidth="1"/>
    <col min="15114" max="15114" width="11.42578125" style="81" customWidth="1"/>
    <col min="15115" max="15358" width="11.42578125" style="81"/>
    <col min="15359" max="15359" width="20.140625" style="81" customWidth="1"/>
    <col min="15360" max="15360" width="9.7109375" style="81" customWidth="1"/>
    <col min="15361" max="15361" width="12.140625" style="81" customWidth="1"/>
    <col min="15362" max="15362" width="7.140625" style="81" customWidth="1"/>
    <col min="15363" max="15363" width="8.140625" style="81" customWidth="1"/>
    <col min="15364" max="15364" width="9.28515625" style="81" customWidth="1"/>
    <col min="15365" max="15366" width="16.42578125" style="81" customWidth="1"/>
    <col min="15367" max="15367" width="6" style="81" customWidth="1"/>
    <col min="15368" max="15369" width="16.42578125" style="81" customWidth="1"/>
    <col min="15370" max="15370" width="11.42578125" style="81" customWidth="1"/>
    <col min="15371" max="15614" width="11.42578125" style="81"/>
    <col min="15615" max="15615" width="20.140625" style="81" customWidth="1"/>
    <col min="15616" max="15616" width="9.7109375" style="81" customWidth="1"/>
    <col min="15617" max="15617" width="12.140625" style="81" customWidth="1"/>
    <col min="15618" max="15618" width="7.140625" style="81" customWidth="1"/>
    <col min="15619" max="15619" width="8.140625" style="81" customWidth="1"/>
    <col min="15620" max="15620" width="9.28515625" style="81" customWidth="1"/>
    <col min="15621" max="15622" width="16.42578125" style="81" customWidth="1"/>
    <col min="15623" max="15623" width="6" style="81" customWidth="1"/>
    <col min="15624" max="15625" width="16.42578125" style="81" customWidth="1"/>
    <col min="15626" max="15626" width="11.42578125" style="81" customWidth="1"/>
    <col min="15627" max="15870" width="11.42578125" style="81"/>
    <col min="15871" max="15871" width="20.140625" style="81" customWidth="1"/>
    <col min="15872" max="15872" width="9.7109375" style="81" customWidth="1"/>
    <col min="15873" max="15873" width="12.140625" style="81" customWidth="1"/>
    <col min="15874" max="15874" width="7.140625" style="81" customWidth="1"/>
    <col min="15875" max="15875" width="8.140625" style="81" customWidth="1"/>
    <col min="15876" max="15876" width="9.28515625" style="81" customWidth="1"/>
    <col min="15877" max="15878" width="16.42578125" style="81" customWidth="1"/>
    <col min="15879" max="15879" width="6" style="81" customWidth="1"/>
    <col min="15880" max="15881" width="16.42578125" style="81" customWidth="1"/>
    <col min="15882" max="15882" width="11.42578125" style="81" customWidth="1"/>
    <col min="15883" max="16126" width="11.42578125" style="81"/>
    <col min="16127" max="16127" width="20.140625" style="81" customWidth="1"/>
    <col min="16128" max="16128" width="9.7109375" style="81" customWidth="1"/>
    <col min="16129" max="16129" width="12.140625" style="81" customWidth="1"/>
    <col min="16130" max="16130" width="7.140625" style="81" customWidth="1"/>
    <col min="16131" max="16131" width="8.140625" style="81" customWidth="1"/>
    <col min="16132" max="16132" width="9.28515625" style="81" customWidth="1"/>
    <col min="16133" max="16134" width="16.42578125" style="81" customWidth="1"/>
    <col min="16135" max="16135" width="6" style="81" customWidth="1"/>
    <col min="16136" max="16137" width="16.42578125" style="81" customWidth="1"/>
    <col min="16138" max="16138" width="11.42578125" style="81" customWidth="1"/>
    <col min="16139" max="16384" width="11.42578125" style="81"/>
  </cols>
  <sheetData>
    <row r="1" spans="1:9" ht="15.75" x14ac:dyDescent="0.25">
      <c r="A1" s="171" t="s">
        <v>299</v>
      </c>
      <c r="D1" s="82"/>
      <c r="E1" s="82"/>
      <c r="F1" s="82"/>
      <c r="I1" s="171"/>
    </row>
    <row r="2" spans="1:9" ht="15.75" x14ac:dyDescent="0.25">
      <c r="A2" s="364" t="s">
        <v>282</v>
      </c>
      <c r="D2" s="82"/>
      <c r="E2" s="82"/>
      <c r="F2" s="82"/>
      <c r="I2" s="171"/>
    </row>
    <row r="3" spans="1:9" ht="13.5" customHeight="1" x14ac:dyDescent="0.2">
      <c r="A3" s="85" t="s">
        <v>166</v>
      </c>
      <c r="B3" s="330">
        <v>2022</v>
      </c>
    </row>
    <row r="4" spans="1:9" ht="12.75" x14ac:dyDescent="0.2">
      <c r="A4" s="86" t="s">
        <v>153</v>
      </c>
      <c r="B4" s="83">
        <v>0.12</v>
      </c>
    </row>
    <row r="5" spans="1:9" ht="12.75" x14ac:dyDescent="0.2">
      <c r="A5" s="86" t="s">
        <v>154</v>
      </c>
      <c r="B5" s="83">
        <v>0.09</v>
      </c>
    </row>
    <row r="6" spans="1:9" ht="12.75" x14ac:dyDescent="0.2">
      <c r="A6" s="86" t="s">
        <v>155</v>
      </c>
      <c r="B6" s="83">
        <v>0.04</v>
      </c>
      <c r="D6" s="165"/>
    </row>
    <row r="7" spans="1:9" ht="12.75" x14ac:dyDescent="0.2">
      <c r="A7" s="86" t="s">
        <v>156</v>
      </c>
      <c r="B7" s="83">
        <v>0.04</v>
      </c>
    </row>
    <row r="8" spans="1:9" ht="12.75" x14ac:dyDescent="0.2">
      <c r="A8" s="81" t="s">
        <v>157</v>
      </c>
      <c r="B8" s="83">
        <v>0.21</v>
      </c>
      <c r="E8" s="206"/>
    </row>
    <row r="9" spans="1:9" ht="12.75" x14ac:dyDescent="0.2">
      <c r="A9" s="86" t="s">
        <v>159</v>
      </c>
      <c r="B9" s="83">
        <v>7.0000000000000007E-2</v>
      </c>
    </row>
    <row r="10" spans="1:9" ht="12.75" x14ac:dyDescent="0.2">
      <c r="A10" s="86" t="s">
        <v>160</v>
      </c>
      <c r="B10" s="83">
        <v>0.15</v>
      </c>
    </row>
    <row r="11" spans="1:9" ht="12.75" x14ac:dyDescent="0.2">
      <c r="A11" s="86" t="s">
        <v>162</v>
      </c>
      <c r="B11" s="83">
        <v>0.02</v>
      </c>
    </row>
    <row r="12" spans="1:9" ht="12.75" x14ac:dyDescent="0.2">
      <c r="A12" s="88" t="s">
        <v>163</v>
      </c>
      <c r="B12" s="83">
        <v>0.04</v>
      </c>
    </row>
    <row r="13" spans="1:9" ht="12.75" x14ac:dyDescent="0.2">
      <c r="A13" s="81" t="s">
        <v>164</v>
      </c>
      <c r="B13" s="83">
        <v>0.13</v>
      </c>
    </row>
    <row r="14" spans="1:9" x14ac:dyDescent="0.2">
      <c r="A14" s="86" t="s">
        <v>110</v>
      </c>
      <c r="B14" s="89">
        <v>0.09</v>
      </c>
    </row>
    <row r="15" spans="1:9" x14ac:dyDescent="0.2">
      <c r="A15" s="90" t="s">
        <v>152</v>
      </c>
      <c r="B15" s="331">
        <v>0.5</v>
      </c>
      <c r="E15" s="160"/>
    </row>
    <row r="16" spans="1:9" x14ac:dyDescent="0.2">
      <c r="A16" s="86" t="s">
        <v>158</v>
      </c>
      <c r="B16" s="91">
        <v>0.22</v>
      </c>
      <c r="G16" s="160"/>
    </row>
    <row r="17" spans="1:10" x14ac:dyDescent="0.2">
      <c r="A17" s="86" t="s">
        <v>161</v>
      </c>
      <c r="B17" s="91">
        <v>0.19</v>
      </c>
    </row>
    <row r="18" spans="1:10" x14ac:dyDescent="0.2">
      <c r="A18" s="92" t="s">
        <v>165</v>
      </c>
      <c r="B18" s="93">
        <v>0.09</v>
      </c>
    </row>
    <row r="19" spans="1:10" ht="12.75" x14ac:dyDescent="0.2">
      <c r="A19" s="332" t="s">
        <v>300</v>
      </c>
    </row>
    <row r="20" spans="1:10" x14ac:dyDescent="0.2">
      <c r="A20" s="333" t="s">
        <v>324</v>
      </c>
    </row>
    <row r="21" spans="1:10" ht="24.75" customHeight="1" x14ac:dyDescent="0.2">
      <c r="A21" s="415" t="s">
        <v>236</v>
      </c>
      <c r="B21" s="415"/>
      <c r="C21" s="415"/>
      <c r="D21" s="415"/>
      <c r="E21" s="415"/>
      <c r="F21" s="415"/>
      <c r="G21" s="415"/>
      <c r="H21" s="415"/>
      <c r="I21" s="141"/>
      <c r="J21" s="141"/>
    </row>
    <row r="24" spans="1:10" ht="12.75" x14ac:dyDescent="0.2">
      <c r="A24" s="20" t="s">
        <v>299</v>
      </c>
    </row>
    <row r="35" spans="2:2" ht="12.75" x14ac:dyDescent="0.2">
      <c r="B35" s="94"/>
    </row>
    <row r="36" spans="2:2" ht="12.75" x14ac:dyDescent="0.2">
      <c r="B36" s="95"/>
    </row>
    <row r="37" spans="2:2" ht="12.75" x14ac:dyDescent="0.2">
      <c r="B37" s="95"/>
    </row>
    <row r="38" spans="2:2" ht="12.75" x14ac:dyDescent="0.2">
      <c r="B38" s="87"/>
    </row>
    <row r="44" spans="2:2" ht="12.75" x14ac:dyDescent="0.2">
      <c r="B44" s="96"/>
    </row>
    <row r="47" spans="2:2" ht="12.75" x14ac:dyDescent="0.2">
      <c r="B47" s="87"/>
    </row>
    <row r="52" spans="1:8" x14ac:dyDescent="0.2">
      <c r="B52" s="84"/>
    </row>
    <row r="58" spans="1:8" x14ac:dyDescent="0.2">
      <c r="A58" s="153" t="s">
        <v>324</v>
      </c>
    </row>
    <row r="59" spans="1:8" ht="24" customHeight="1" x14ac:dyDescent="0.2">
      <c r="A59" s="415" t="s">
        <v>236</v>
      </c>
      <c r="B59" s="415"/>
      <c r="C59" s="415"/>
      <c r="D59" s="415"/>
      <c r="E59" s="415"/>
      <c r="F59" s="415"/>
      <c r="G59" s="415"/>
      <c r="H59" s="415"/>
    </row>
  </sheetData>
  <mergeCells count="2">
    <mergeCell ref="A21:H21"/>
    <mergeCell ref="A59:H59"/>
  </mergeCells>
  <hyperlinks>
    <hyperlink ref="A2" location="Sommaire!A2" display="Retour au sommaire"/>
  </hyperlinks>
  <pageMargins left="0.13" right="0.14000000000000001" top="0.24" bottom="0.21" header="0.17" footer="0.17"/>
  <pageSetup paperSize="9" scale="51"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M40"/>
  <sheetViews>
    <sheetView showGridLines="0" zoomScale="120" zoomScaleNormal="120" workbookViewId="0">
      <selection activeCell="E5" sqref="E5"/>
    </sheetView>
  </sheetViews>
  <sheetFormatPr baseColWidth="10" defaultColWidth="11.42578125" defaultRowHeight="12.75" x14ac:dyDescent="0.2"/>
  <cols>
    <col min="1" max="1" width="32.7109375" customWidth="1"/>
    <col min="2" max="2" width="9" customWidth="1"/>
    <col min="3" max="3" width="10.85546875" customWidth="1"/>
    <col min="4" max="4" width="14.140625" customWidth="1"/>
    <col min="5" max="5" width="11.5703125" customWidth="1"/>
    <col min="6" max="7" width="9.42578125" customWidth="1"/>
    <col min="8" max="8" width="11" customWidth="1"/>
    <col min="9" max="9" width="8.28515625" customWidth="1"/>
    <col min="10" max="10" width="9.42578125" customWidth="1"/>
    <col min="11" max="11" width="9.85546875" style="133" customWidth="1"/>
    <col min="12" max="12" width="11.42578125" style="67"/>
  </cols>
  <sheetData>
    <row r="1" spans="1:13" ht="31.5" customHeight="1" x14ac:dyDescent="0.2">
      <c r="A1" s="397" t="s">
        <v>286</v>
      </c>
      <c r="B1" s="397"/>
      <c r="C1" s="397"/>
      <c r="D1" s="397"/>
      <c r="E1" s="397"/>
      <c r="F1" s="397"/>
      <c r="G1" s="397"/>
      <c r="H1" s="397"/>
      <c r="I1" s="397"/>
      <c r="J1" s="397"/>
      <c r="K1" s="397"/>
    </row>
    <row r="2" spans="1:13" ht="14.25" customHeight="1" x14ac:dyDescent="0.2">
      <c r="A2" s="176" t="s">
        <v>200</v>
      </c>
    </row>
    <row r="3" spans="1:13" ht="14.25" customHeight="1" x14ac:dyDescent="0.2">
      <c r="A3" s="364" t="s">
        <v>282</v>
      </c>
    </row>
    <row r="4" spans="1:13" s="115" customFormat="1" ht="47.25" customHeight="1" x14ac:dyDescent="0.2">
      <c r="A4" s="111"/>
      <c r="B4" s="112" t="s">
        <v>43</v>
      </c>
      <c r="C4" s="112" t="s">
        <v>44</v>
      </c>
      <c r="D4" s="112" t="s">
        <v>0</v>
      </c>
      <c r="E4" s="112" t="s">
        <v>327</v>
      </c>
      <c r="F4" s="112" t="s">
        <v>214</v>
      </c>
      <c r="G4" s="112" t="s">
        <v>218</v>
      </c>
      <c r="H4" s="112" t="s">
        <v>60</v>
      </c>
      <c r="I4" s="112" t="s">
        <v>7</v>
      </c>
      <c r="J4" s="112" t="s">
        <v>120</v>
      </c>
      <c r="K4" s="113" t="s">
        <v>287</v>
      </c>
      <c r="L4" s="114" t="s">
        <v>173</v>
      </c>
    </row>
    <row r="5" spans="1:13" s="22" customFormat="1" ht="15.75" customHeight="1" x14ac:dyDescent="0.2">
      <c r="A5" s="41" t="s">
        <v>46</v>
      </c>
      <c r="B5" s="106"/>
      <c r="C5" s="106"/>
      <c r="D5" s="106"/>
      <c r="E5" s="106"/>
      <c r="F5" s="106">
        <v>214.13200000000001</v>
      </c>
      <c r="G5" s="106">
        <v>38.677999999999997</v>
      </c>
      <c r="H5" s="106">
        <v>79.284000000000006</v>
      </c>
      <c r="I5" s="106">
        <v>12.417999999999999</v>
      </c>
      <c r="J5" s="106">
        <v>344.512</v>
      </c>
      <c r="K5" s="134">
        <v>-5.195230481767573</v>
      </c>
      <c r="L5" s="102">
        <f>100*J5/$J$31</f>
        <v>11.736870238343853</v>
      </c>
      <c r="M5" s="210"/>
    </row>
    <row r="6" spans="1:13" s="23" customFormat="1" ht="15.75" customHeight="1" x14ac:dyDescent="0.2">
      <c r="A6" s="42" t="s">
        <v>47</v>
      </c>
      <c r="B6" s="107" t="s">
        <v>115</v>
      </c>
      <c r="C6" s="107" t="s">
        <v>115</v>
      </c>
      <c r="D6" s="107" t="s">
        <v>115</v>
      </c>
      <c r="E6" s="107" t="s">
        <v>115</v>
      </c>
      <c r="F6" s="107">
        <v>50.951999999999998</v>
      </c>
      <c r="G6" s="107">
        <v>16.890999999999998</v>
      </c>
      <c r="H6" s="107">
        <v>10.737</v>
      </c>
      <c r="I6" s="107">
        <v>2.718</v>
      </c>
      <c r="J6" s="107">
        <v>81.298000000000002</v>
      </c>
      <c r="K6" s="135">
        <v>-7.5707447957524696</v>
      </c>
      <c r="L6" s="103">
        <f t="shared" ref="L6:L32" si="0">100*J6/$J$31</f>
        <v>2.7696686229706908</v>
      </c>
    </row>
    <row r="7" spans="1:13" s="22" customFormat="1" ht="15.75" customHeight="1" x14ac:dyDescent="0.2">
      <c r="A7" s="41" t="s">
        <v>295</v>
      </c>
      <c r="B7" s="106">
        <v>1074.6199999999999</v>
      </c>
      <c r="C7" s="106">
        <v>180.96199999999999</v>
      </c>
      <c r="D7" s="106">
        <v>31.613</v>
      </c>
      <c r="E7" s="106">
        <v>107.256</v>
      </c>
      <c r="F7" s="106" t="s">
        <v>115</v>
      </c>
      <c r="G7" s="106" t="s">
        <v>115</v>
      </c>
      <c r="H7" s="106">
        <v>5.5979999999999999</v>
      </c>
      <c r="I7" s="106">
        <v>197.642</v>
      </c>
      <c r="J7" s="106">
        <v>1597.691</v>
      </c>
      <c r="K7" s="134">
        <v>-3.4483382963750682</v>
      </c>
      <c r="L7" s="102">
        <f t="shared" si="0"/>
        <v>54.430301260826418</v>
      </c>
      <c r="M7" s="210"/>
    </row>
    <row r="8" spans="1:13" s="22" customFormat="1" ht="15.75" customHeight="1" x14ac:dyDescent="0.2">
      <c r="A8" s="41" t="s">
        <v>61</v>
      </c>
      <c r="B8" s="106">
        <v>46.945</v>
      </c>
      <c r="C8" s="106">
        <v>1.1970000000000001</v>
      </c>
      <c r="D8" s="106" t="s">
        <v>115</v>
      </c>
      <c r="E8" s="106" t="s">
        <v>115</v>
      </c>
      <c r="F8" s="106" t="s">
        <v>115</v>
      </c>
      <c r="G8" s="106" t="s">
        <v>115</v>
      </c>
      <c r="H8" s="106" t="s">
        <v>115</v>
      </c>
      <c r="I8" s="106">
        <v>32.469000000000001</v>
      </c>
      <c r="J8" s="106">
        <v>80.611000000000004</v>
      </c>
      <c r="K8" s="134">
        <v>1.9501953989553429</v>
      </c>
      <c r="L8" s="102">
        <f t="shared" si="0"/>
        <v>2.7462638363341085</v>
      </c>
    </row>
    <row r="9" spans="1:13" s="24" customFormat="1" ht="15.75" customHeight="1" x14ac:dyDescent="0.2">
      <c r="A9" s="42" t="s">
        <v>47</v>
      </c>
      <c r="B9" s="107">
        <v>33.430999999999997</v>
      </c>
      <c r="C9" s="107">
        <v>1.1970000000000001</v>
      </c>
      <c r="D9" s="107" t="s">
        <v>115</v>
      </c>
      <c r="E9" s="107" t="s">
        <v>115</v>
      </c>
      <c r="F9" s="107" t="s">
        <v>115</v>
      </c>
      <c r="G9" s="107" t="s">
        <v>115</v>
      </c>
      <c r="H9" s="107" t="s">
        <v>115</v>
      </c>
      <c r="I9" s="107">
        <v>11.396000000000001</v>
      </c>
      <c r="J9" s="107">
        <v>46.024000000000001</v>
      </c>
      <c r="K9" s="135">
        <v>-1.4412060731952803</v>
      </c>
      <c r="L9" s="103">
        <f t="shared" si="0"/>
        <v>1.5679503641369168</v>
      </c>
    </row>
    <row r="10" spans="1:13" s="22" customFormat="1" ht="15.75" customHeight="1" x14ac:dyDescent="0.2">
      <c r="A10" s="41" t="s">
        <v>53</v>
      </c>
      <c r="B10" s="106" t="s">
        <v>115</v>
      </c>
      <c r="C10" s="106" t="s">
        <v>115</v>
      </c>
      <c r="D10" s="106" t="s">
        <v>115</v>
      </c>
      <c r="E10" s="106" t="s">
        <v>115</v>
      </c>
      <c r="F10" s="106" t="s">
        <v>115</v>
      </c>
      <c r="G10" s="106" t="s">
        <v>115</v>
      </c>
      <c r="H10" s="106" t="s">
        <v>115</v>
      </c>
      <c r="I10" s="106">
        <v>7.9059999999999997</v>
      </c>
      <c r="J10" s="106">
        <v>7.9059999999999997</v>
      </c>
      <c r="K10" s="134">
        <v>2.5022688966679634</v>
      </c>
      <c r="L10" s="102">
        <f t="shared" si="0"/>
        <v>0.26934242088619992</v>
      </c>
    </row>
    <row r="11" spans="1:13" s="22" customFormat="1" ht="15.75" customHeight="1" x14ac:dyDescent="0.2">
      <c r="A11" s="41" t="s">
        <v>62</v>
      </c>
      <c r="B11" s="106">
        <v>13.079000000000001</v>
      </c>
      <c r="C11" s="106" t="s">
        <v>115</v>
      </c>
      <c r="D11" s="106">
        <v>146.01</v>
      </c>
      <c r="E11" s="106" t="s">
        <v>115</v>
      </c>
      <c r="F11" s="106" t="s">
        <v>115</v>
      </c>
      <c r="G11" s="106">
        <v>0.28499999999999998</v>
      </c>
      <c r="H11" s="106">
        <v>15.534000000000001</v>
      </c>
      <c r="I11" s="106">
        <v>9.3239999999999998</v>
      </c>
      <c r="J11" s="106">
        <v>184.232</v>
      </c>
      <c r="K11" s="134">
        <v>1.6575805063235263</v>
      </c>
      <c r="L11" s="102">
        <f t="shared" si="0"/>
        <v>6.2764347185310383</v>
      </c>
    </row>
    <row r="12" spans="1:13" s="23" customFormat="1" ht="15.75" customHeight="1" x14ac:dyDescent="0.2">
      <c r="A12" s="42" t="s">
        <v>47</v>
      </c>
      <c r="B12" s="107">
        <v>0.124</v>
      </c>
      <c r="C12" s="107" t="s">
        <v>115</v>
      </c>
      <c r="D12" s="107">
        <v>60.204000000000001</v>
      </c>
      <c r="E12" s="107" t="s">
        <v>115</v>
      </c>
      <c r="F12" s="108" t="s">
        <v>115</v>
      </c>
      <c r="G12" s="107">
        <v>0.28499999999999998</v>
      </c>
      <c r="H12" s="107">
        <v>10.747999999999999</v>
      </c>
      <c r="I12" s="107">
        <v>2.0099999999999998</v>
      </c>
      <c r="J12" s="107">
        <v>73.370999999999995</v>
      </c>
      <c r="K12" s="135">
        <v>1.8504122824065077</v>
      </c>
      <c r="L12" s="103">
        <f t="shared" si="0"/>
        <v>2.499610771925294</v>
      </c>
    </row>
    <row r="13" spans="1:13" s="22" customFormat="1" ht="15.75" customHeight="1" x14ac:dyDescent="0.2">
      <c r="A13" s="41" t="s">
        <v>112</v>
      </c>
      <c r="B13" s="106" t="s">
        <v>115</v>
      </c>
      <c r="C13" s="106" t="s">
        <v>115</v>
      </c>
      <c r="D13" s="106" t="s">
        <v>115</v>
      </c>
      <c r="E13" s="106" t="s">
        <v>115</v>
      </c>
      <c r="F13" s="106">
        <v>4.2859999999999996</v>
      </c>
      <c r="G13" s="106">
        <v>21.071999999999999</v>
      </c>
      <c r="H13" s="106" t="s">
        <v>115</v>
      </c>
      <c r="I13" s="106">
        <v>244.96700000000001</v>
      </c>
      <c r="J13" s="106">
        <v>270.32499999999999</v>
      </c>
      <c r="K13" s="134">
        <v>3.0221612454505613</v>
      </c>
      <c r="L13" s="102">
        <f t="shared" si="0"/>
        <v>9.2094598945183392</v>
      </c>
    </row>
    <row r="14" spans="1:13" s="24" customFormat="1" ht="15.75" customHeight="1" x14ac:dyDescent="0.2">
      <c r="A14" s="42" t="s">
        <v>47</v>
      </c>
      <c r="B14" s="107" t="s">
        <v>115</v>
      </c>
      <c r="C14" s="107" t="s">
        <v>115</v>
      </c>
      <c r="D14" s="107" t="s">
        <v>115</v>
      </c>
      <c r="E14" s="107" t="s">
        <v>115</v>
      </c>
      <c r="F14" s="107">
        <v>4.2859999999999996</v>
      </c>
      <c r="G14" s="107">
        <v>21.071999999999999</v>
      </c>
      <c r="H14" s="107" t="s">
        <v>115</v>
      </c>
      <c r="I14" s="107">
        <v>243.797</v>
      </c>
      <c r="J14" s="107">
        <v>269.15499999999997</v>
      </c>
      <c r="K14" s="135">
        <v>3.0692348931607567</v>
      </c>
      <c r="L14" s="103">
        <f t="shared" si="0"/>
        <v>9.16960021422023</v>
      </c>
    </row>
    <row r="15" spans="1:13" s="25" customFormat="1" ht="15.75" customHeight="1" x14ac:dyDescent="0.2">
      <c r="A15" s="41" t="s">
        <v>55</v>
      </c>
      <c r="B15" s="106" t="s">
        <v>115</v>
      </c>
      <c r="C15" s="106" t="s">
        <v>115</v>
      </c>
      <c r="D15" s="106" t="s">
        <v>115</v>
      </c>
      <c r="E15" s="106" t="s">
        <v>115</v>
      </c>
      <c r="F15" s="106">
        <v>0.10100000000000001</v>
      </c>
      <c r="G15" s="106" t="s">
        <v>115</v>
      </c>
      <c r="H15" s="106" t="s">
        <v>115</v>
      </c>
      <c r="I15" s="106">
        <v>9.3480000000000008</v>
      </c>
      <c r="J15" s="106">
        <v>9.484</v>
      </c>
      <c r="K15" s="134">
        <v>-5.0555611172289519</v>
      </c>
      <c r="L15" s="102">
        <f t="shared" si="0"/>
        <v>0.32310188713441945</v>
      </c>
    </row>
    <row r="16" spans="1:13" s="24" customFormat="1" ht="15.75" customHeight="1" x14ac:dyDescent="0.2">
      <c r="A16" s="42" t="s">
        <v>47</v>
      </c>
      <c r="B16" s="107" t="s">
        <v>115</v>
      </c>
      <c r="C16" s="107" t="s">
        <v>115</v>
      </c>
      <c r="D16" s="107" t="s">
        <v>115</v>
      </c>
      <c r="E16" s="107" t="s">
        <v>115</v>
      </c>
      <c r="F16" s="107">
        <v>0.10100000000000001</v>
      </c>
      <c r="G16" s="107" t="s">
        <v>115</v>
      </c>
      <c r="H16" s="107" t="s">
        <v>115</v>
      </c>
      <c r="I16" s="107">
        <v>3.169</v>
      </c>
      <c r="J16" s="107">
        <v>3.3050000000000002</v>
      </c>
      <c r="K16" s="135">
        <v>-5.7867730900798175</v>
      </c>
      <c r="L16" s="103">
        <f t="shared" si="0"/>
        <v>0.11259507981645468</v>
      </c>
    </row>
    <row r="17" spans="1:12" s="25" customFormat="1" ht="15.75" customHeight="1" x14ac:dyDescent="0.2">
      <c r="A17" s="41" t="s">
        <v>56</v>
      </c>
      <c r="B17" s="106" t="s">
        <v>115</v>
      </c>
      <c r="C17" s="106" t="s">
        <v>115</v>
      </c>
      <c r="D17" s="106" t="s">
        <v>115</v>
      </c>
      <c r="E17" s="106" t="s">
        <v>115</v>
      </c>
      <c r="F17" s="106">
        <v>0.35299999999999998</v>
      </c>
      <c r="G17" s="106">
        <v>5.7000000000000002E-2</v>
      </c>
      <c r="H17" s="106" t="s">
        <v>115</v>
      </c>
      <c r="I17" s="106">
        <v>20.786999999999999</v>
      </c>
      <c r="J17" s="106">
        <v>21.196999999999999</v>
      </c>
      <c r="K17" s="134">
        <v>9.2628865979381452</v>
      </c>
      <c r="L17" s="102">
        <f t="shared" si="0"/>
        <v>0.72214157545216029</v>
      </c>
    </row>
    <row r="18" spans="1:12" s="26" customFormat="1" ht="15.75" customHeight="1" x14ac:dyDescent="0.2">
      <c r="A18" s="42" t="s">
        <v>47</v>
      </c>
      <c r="B18" s="107" t="s">
        <v>115</v>
      </c>
      <c r="C18" s="107" t="s">
        <v>115</v>
      </c>
      <c r="D18" s="107" t="s">
        <v>115</v>
      </c>
      <c r="E18" s="107" t="s">
        <v>115</v>
      </c>
      <c r="F18" s="107">
        <v>0.35299999999999998</v>
      </c>
      <c r="G18" s="107">
        <v>5.7000000000000002E-2</v>
      </c>
      <c r="H18" s="107" t="s">
        <v>115</v>
      </c>
      <c r="I18" s="107">
        <v>20.786999999999999</v>
      </c>
      <c r="J18" s="107">
        <v>21.196999999999999</v>
      </c>
      <c r="K18" s="135">
        <v>9.2628865979381452</v>
      </c>
      <c r="L18" s="103">
        <f t="shared" si="0"/>
        <v>0.72214157545216029</v>
      </c>
    </row>
    <row r="19" spans="1:12" s="25" customFormat="1" ht="15.75" customHeight="1" x14ac:dyDescent="0.2">
      <c r="A19" s="41" t="s">
        <v>63</v>
      </c>
      <c r="B19" s="106" t="s">
        <v>115</v>
      </c>
      <c r="C19" s="106">
        <v>119.65300000000001</v>
      </c>
      <c r="D19" s="106" t="s">
        <v>115</v>
      </c>
      <c r="E19" s="106" t="s">
        <v>115</v>
      </c>
      <c r="F19" s="106" t="s">
        <v>115</v>
      </c>
      <c r="G19" s="106" t="s">
        <v>115</v>
      </c>
      <c r="H19" s="106" t="s">
        <v>115</v>
      </c>
      <c r="I19" s="106" t="s">
        <v>115</v>
      </c>
      <c r="J19" s="106">
        <v>119.65300000000001</v>
      </c>
      <c r="K19" s="298">
        <v>8.3793771851959207</v>
      </c>
      <c r="L19" s="102">
        <f t="shared" si="0"/>
        <v>4.0763507065894871</v>
      </c>
    </row>
    <row r="20" spans="1:12" s="26" customFormat="1" ht="15.75" customHeight="1" x14ac:dyDescent="0.2">
      <c r="A20" s="42" t="s">
        <v>47</v>
      </c>
      <c r="B20" s="107" t="s">
        <v>115</v>
      </c>
      <c r="C20" s="107">
        <v>30.484000000000002</v>
      </c>
      <c r="D20" s="107" t="s">
        <v>115</v>
      </c>
      <c r="E20" s="107" t="s">
        <v>115</v>
      </c>
      <c r="F20" s="107" t="s">
        <v>115</v>
      </c>
      <c r="G20" s="107" t="s">
        <v>115</v>
      </c>
      <c r="H20" s="107" t="s">
        <v>115</v>
      </c>
      <c r="I20" s="107" t="s">
        <v>115</v>
      </c>
      <c r="J20" s="107">
        <v>30.484000000000002</v>
      </c>
      <c r="K20" s="299">
        <v>9.9116639625022529</v>
      </c>
      <c r="L20" s="103">
        <f t="shared" si="0"/>
        <v>1.0385320463312571</v>
      </c>
    </row>
    <row r="21" spans="1:12" s="25" customFormat="1" ht="15.75" customHeight="1" x14ac:dyDescent="0.2">
      <c r="A21" s="41" t="s">
        <v>64</v>
      </c>
      <c r="B21" s="106" t="s">
        <v>115</v>
      </c>
      <c r="C21" s="106" t="s">
        <v>115</v>
      </c>
      <c r="D21" s="106" t="s">
        <v>115</v>
      </c>
      <c r="E21" s="106" t="s">
        <v>115</v>
      </c>
      <c r="F21" s="106">
        <v>0.70599999999999996</v>
      </c>
      <c r="G21" s="106" t="s">
        <v>115</v>
      </c>
      <c r="H21" s="106" t="s">
        <v>115</v>
      </c>
      <c r="I21" s="106">
        <v>32.715000000000003</v>
      </c>
      <c r="J21" s="106">
        <v>33.445999999999998</v>
      </c>
      <c r="K21" s="298">
        <v>5.0736703213848138</v>
      </c>
      <c r="L21" s="102">
        <f t="shared" si="0"/>
        <v>1.1394417668808301</v>
      </c>
    </row>
    <row r="22" spans="1:12" s="26" customFormat="1" ht="15.75" customHeight="1" x14ac:dyDescent="0.2">
      <c r="A22" s="42" t="s">
        <v>47</v>
      </c>
      <c r="B22" s="107" t="s">
        <v>115</v>
      </c>
      <c r="C22" s="107" t="s">
        <v>115</v>
      </c>
      <c r="D22" s="107" t="s">
        <v>115</v>
      </c>
      <c r="E22" s="107" t="s">
        <v>115</v>
      </c>
      <c r="F22" s="107">
        <v>0.70599999999999996</v>
      </c>
      <c r="G22" s="107" t="s">
        <v>115</v>
      </c>
      <c r="H22" s="107" t="s">
        <v>115</v>
      </c>
      <c r="I22" s="107">
        <v>31.97</v>
      </c>
      <c r="J22" s="107">
        <v>32.686</v>
      </c>
      <c r="K22" s="299">
        <v>8.5156535307592716</v>
      </c>
      <c r="L22" s="103">
        <f t="shared" si="0"/>
        <v>1.1135500087384684</v>
      </c>
    </row>
    <row r="23" spans="1:12" s="25" customFormat="1" ht="15.75" customHeight="1" x14ac:dyDescent="0.2">
      <c r="A23" s="41" t="s">
        <v>65</v>
      </c>
      <c r="B23" s="106">
        <v>0.20100000000000001</v>
      </c>
      <c r="C23" s="106" t="s">
        <v>115</v>
      </c>
      <c r="D23" s="106" t="s">
        <v>115</v>
      </c>
      <c r="E23" s="106" t="s">
        <v>115</v>
      </c>
      <c r="F23" s="106">
        <v>0.313</v>
      </c>
      <c r="G23" s="106">
        <v>0.114</v>
      </c>
      <c r="H23" s="106" t="s">
        <v>115</v>
      </c>
      <c r="I23" s="106">
        <v>74.512</v>
      </c>
      <c r="J23" s="106">
        <v>75.14</v>
      </c>
      <c r="K23" s="134">
        <v>5.3975200583515681</v>
      </c>
      <c r="L23" s="102">
        <f t="shared" si="0"/>
        <v>2.559877245811923</v>
      </c>
    </row>
    <row r="24" spans="1:12" s="26" customFormat="1" ht="15.75" customHeight="1" x14ac:dyDescent="0.2">
      <c r="A24" s="42" t="s">
        <v>47</v>
      </c>
      <c r="B24" s="108" t="s">
        <v>115</v>
      </c>
      <c r="C24" s="107" t="s">
        <v>115</v>
      </c>
      <c r="D24" s="107" t="s">
        <v>115</v>
      </c>
      <c r="E24" s="107" t="s">
        <v>115</v>
      </c>
      <c r="F24" s="107">
        <v>0.313</v>
      </c>
      <c r="G24" s="107">
        <v>0.114</v>
      </c>
      <c r="H24" s="107" t="s">
        <v>115</v>
      </c>
      <c r="I24" s="107">
        <v>57.564999999999998</v>
      </c>
      <c r="J24" s="107">
        <v>58.018999999999998</v>
      </c>
      <c r="K24" s="135">
        <v>7.7098726469386998</v>
      </c>
      <c r="L24" s="103">
        <f t="shared" si="0"/>
        <v>1.9765972574495867</v>
      </c>
    </row>
    <row r="25" spans="1:12" s="25" customFormat="1" ht="15.75" customHeight="1" x14ac:dyDescent="0.2">
      <c r="A25" s="41" t="s">
        <v>57</v>
      </c>
      <c r="B25" s="106">
        <v>0.48899999999999999</v>
      </c>
      <c r="C25" s="106" t="s">
        <v>115</v>
      </c>
      <c r="D25" s="106" t="s">
        <v>115</v>
      </c>
      <c r="E25" s="106" t="s">
        <v>115</v>
      </c>
      <c r="F25" s="106" t="s">
        <v>115</v>
      </c>
      <c r="G25" s="106" t="s">
        <v>115</v>
      </c>
      <c r="H25" s="106" t="s">
        <v>115</v>
      </c>
      <c r="I25" s="106">
        <v>19.661999999999999</v>
      </c>
      <c r="J25" s="106">
        <v>20.151</v>
      </c>
      <c r="K25" s="134">
        <v>-3.3154207849534592</v>
      </c>
      <c r="L25" s="102">
        <f t="shared" si="0"/>
        <v>0.686506339903594</v>
      </c>
    </row>
    <row r="26" spans="1:12" s="26" customFormat="1" ht="15.75" customHeight="1" x14ac:dyDescent="0.2">
      <c r="A26" s="42" t="s">
        <v>47</v>
      </c>
      <c r="B26" s="107" t="s">
        <v>115</v>
      </c>
      <c r="C26" s="107" t="s">
        <v>115</v>
      </c>
      <c r="D26" s="107" t="s">
        <v>115</v>
      </c>
      <c r="E26" s="107" t="s">
        <v>115</v>
      </c>
      <c r="F26" s="107" t="s">
        <v>115</v>
      </c>
      <c r="G26" s="107" t="s">
        <v>115</v>
      </c>
      <c r="H26" s="107" t="s">
        <v>115</v>
      </c>
      <c r="I26" s="107">
        <v>0.98699999999999999</v>
      </c>
      <c r="J26" s="107">
        <v>0.98699999999999999</v>
      </c>
      <c r="K26" s="135">
        <v>21.104294478527606</v>
      </c>
      <c r="L26" s="103">
        <f t="shared" si="0"/>
        <v>3.362521748225137E-2</v>
      </c>
    </row>
    <row r="27" spans="1:12" s="25" customFormat="1" ht="15.75" customHeight="1" x14ac:dyDescent="0.2">
      <c r="A27" s="41" t="s">
        <v>58</v>
      </c>
      <c r="B27" s="106" t="s">
        <v>115</v>
      </c>
      <c r="C27" s="106" t="s">
        <v>115</v>
      </c>
      <c r="D27" s="106" t="s">
        <v>115</v>
      </c>
      <c r="E27" s="106" t="s">
        <v>115</v>
      </c>
      <c r="F27" s="106" t="s">
        <v>115</v>
      </c>
      <c r="G27" s="106" t="s">
        <v>115</v>
      </c>
      <c r="H27" s="106" t="s">
        <v>115</v>
      </c>
      <c r="I27" s="106">
        <v>3.585</v>
      </c>
      <c r="J27" s="106">
        <v>3.585</v>
      </c>
      <c r="K27" s="134">
        <v>4.1545613015688554</v>
      </c>
      <c r="L27" s="102">
        <f t="shared" si="0"/>
        <v>0.12213414860574585</v>
      </c>
    </row>
    <row r="28" spans="1:12" s="25" customFormat="1" ht="15.75" customHeight="1" x14ac:dyDescent="0.2">
      <c r="A28" s="42" t="s">
        <v>47</v>
      </c>
      <c r="B28" s="107" t="s">
        <v>115</v>
      </c>
      <c r="C28" s="107" t="s">
        <v>115</v>
      </c>
      <c r="D28" s="107" t="s">
        <v>115</v>
      </c>
      <c r="E28" s="107" t="s">
        <v>115</v>
      </c>
      <c r="F28" s="107" t="s">
        <v>115</v>
      </c>
      <c r="G28" s="107" t="s">
        <v>115</v>
      </c>
      <c r="H28" s="107" t="s">
        <v>115</v>
      </c>
      <c r="I28" s="107" t="s">
        <v>115</v>
      </c>
      <c r="J28" s="107" t="s">
        <v>115</v>
      </c>
      <c r="K28" s="135"/>
      <c r="L28" s="103"/>
    </row>
    <row r="29" spans="1:12" s="27" customFormat="1" ht="15.75" customHeight="1" x14ac:dyDescent="0.2">
      <c r="A29" s="41" t="s">
        <v>48</v>
      </c>
      <c r="B29" s="106">
        <v>0.50700000000000001</v>
      </c>
      <c r="C29" s="106" t="s">
        <v>115</v>
      </c>
      <c r="D29" s="106" t="s">
        <v>115</v>
      </c>
      <c r="E29" s="106" t="s">
        <v>115</v>
      </c>
      <c r="F29" s="106">
        <v>7.8780000000000001</v>
      </c>
      <c r="G29" s="106">
        <v>118.648</v>
      </c>
      <c r="H29" s="106">
        <v>1.88</v>
      </c>
      <c r="I29" s="106">
        <v>38.451000000000001</v>
      </c>
      <c r="J29" s="106">
        <v>167.364</v>
      </c>
      <c r="K29" s="134">
        <v>11.262980149180306</v>
      </c>
      <c r="L29" s="102">
        <f t="shared" si="0"/>
        <v>5.7017739601818835</v>
      </c>
    </row>
    <row r="30" spans="1:12" s="26" customFormat="1" ht="15.75" customHeight="1" x14ac:dyDescent="0.2">
      <c r="A30" s="42" t="s">
        <v>47</v>
      </c>
      <c r="B30" s="107">
        <v>0.50700000000000001</v>
      </c>
      <c r="C30" s="107" t="s">
        <v>115</v>
      </c>
      <c r="D30" s="107" t="s">
        <v>115</v>
      </c>
      <c r="E30" s="107" t="s">
        <v>115</v>
      </c>
      <c r="F30" s="107">
        <v>7.8780000000000001</v>
      </c>
      <c r="G30" s="107">
        <v>102.834</v>
      </c>
      <c r="H30" s="107">
        <v>1.88</v>
      </c>
      <c r="I30" s="107">
        <v>37.231999999999999</v>
      </c>
      <c r="J30" s="107">
        <v>150.33099999999999</v>
      </c>
      <c r="K30" s="135">
        <v>12.607490636704119</v>
      </c>
      <c r="L30" s="103">
        <f t="shared" si="0"/>
        <v>5.1214919648676087</v>
      </c>
    </row>
    <row r="31" spans="1:12" s="25" customFormat="1" ht="15.75" customHeight="1" x14ac:dyDescent="0.2">
      <c r="A31" s="75" t="s">
        <v>9</v>
      </c>
      <c r="B31" s="109">
        <v>1135.8409999999999</v>
      </c>
      <c r="C31" s="109">
        <v>301.81200000000001</v>
      </c>
      <c r="D31" s="109">
        <v>177.62299999999999</v>
      </c>
      <c r="E31" s="109">
        <v>107.256</v>
      </c>
      <c r="F31" s="109">
        <v>227.76900000000001</v>
      </c>
      <c r="G31" s="109">
        <v>178.91399999999999</v>
      </c>
      <c r="H31" s="109">
        <v>102.29600000000001</v>
      </c>
      <c r="I31" s="109">
        <v>703.78599999999994</v>
      </c>
      <c r="J31" s="109">
        <v>2935.297</v>
      </c>
      <c r="K31" s="136">
        <v>-1.4724269870430051</v>
      </c>
      <c r="L31" s="104">
        <f t="shared" si="0"/>
        <v>100</v>
      </c>
    </row>
    <row r="32" spans="1:12" s="27" customFormat="1" ht="15.75" customHeight="1" thickBot="1" x14ac:dyDescent="0.25">
      <c r="A32" s="43" t="s">
        <v>47</v>
      </c>
      <c r="B32" s="110">
        <v>34.088999999999999</v>
      </c>
      <c r="C32" s="110">
        <v>31.681000000000001</v>
      </c>
      <c r="D32" s="110">
        <v>60.204000000000001</v>
      </c>
      <c r="E32" s="110" t="s">
        <v>115</v>
      </c>
      <c r="F32" s="110">
        <v>64.588999999999999</v>
      </c>
      <c r="G32" s="110">
        <v>141.298</v>
      </c>
      <c r="H32" s="110">
        <v>23.364999999999998</v>
      </c>
      <c r="I32" s="110">
        <v>411.64800000000002</v>
      </c>
      <c r="J32" s="110">
        <v>766.87400000000002</v>
      </c>
      <c r="K32" s="137">
        <v>3.3421240228387235</v>
      </c>
      <c r="L32" s="44">
        <f t="shared" si="0"/>
        <v>26.125942281138844</v>
      </c>
    </row>
    <row r="33" spans="1:12" s="27" customFormat="1" ht="12.75" customHeight="1" x14ac:dyDescent="0.2">
      <c r="B33" s="36"/>
      <c r="C33" s="36"/>
      <c r="D33" s="36"/>
      <c r="E33" s="37"/>
      <c r="F33" s="37"/>
      <c r="G33" s="37"/>
      <c r="H33" s="38"/>
      <c r="I33" s="38"/>
      <c r="J33" s="38"/>
      <c r="K33" s="138"/>
      <c r="L33" s="105"/>
    </row>
    <row r="34" spans="1:12" s="27" customFormat="1" ht="12.75" customHeight="1" x14ac:dyDescent="0.2">
      <c r="A34" s="278" t="s">
        <v>312</v>
      </c>
      <c r="B34" s="200"/>
      <c r="C34" s="200"/>
      <c r="D34" s="200"/>
      <c r="E34" s="200"/>
      <c r="F34" s="200"/>
      <c r="G34" s="200"/>
      <c r="H34" s="200"/>
      <c r="I34" s="201"/>
      <c r="J34" s="201"/>
      <c r="K34" s="138"/>
      <c r="L34" s="105"/>
    </row>
    <row r="35" spans="1:12" s="27" customFormat="1" ht="12.75" customHeight="1" x14ac:dyDescent="0.2">
      <c r="A35" s="278" t="s">
        <v>206</v>
      </c>
      <c r="B35" s="200"/>
      <c r="C35" s="200"/>
      <c r="D35" s="200"/>
      <c r="E35" s="200"/>
      <c r="F35" s="200"/>
      <c r="G35" s="200"/>
      <c r="H35" s="200"/>
      <c r="I35" s="201"/>
      <c r="J35" s="201"/>
      <c r="K35" s="139"/>
      <c r="L35" s="105"/>
    </row>
    <row r="36" spans="1:12" s="27" customFormat="1" ht="23.25" customHeight="1" x14ac:dyDescent="0.2">
      <c r="A36" s="400" t="s">
        <v>207</v>
      </c>
      <c r="B36" s="401"/>
      <c r="C36" s="401"/>
      <c r="D36" s="401"/>
      <c r="E36" s="401"/>
      <c r="F36" s="401"/>
      <c r="G36" s="401"/>
      <c r="H36" s="401"/>
      <c r="I36" s="401"/>
      <c r="J36" s="401"/>
      <c r="K36" s="140"/>
      <c r="L36" s="105"/>
    </row>
    <row r="37" spans="1:12" s="27" customFormat="1" ht="12.75" customHeight="1" x14ac:dyDescent="0.2">
      <c r="A37" s="202" t="s">
        <v>288</v>
      </c>
      <c r="B37" s="203"/>
      <c r="C37" s="203"/>
      <c r="D37" s="203"/>
      <c r="E37" s="203"/>
      <c r="F37" s="203"/>
      <c r="G37" s="203"/>
      <c r="H37" s="203"/>
      <c r="I37" s="203"/>
      <c r="J37" s="203"/>
      <c r="K37" s="140"/>
      <c r="L37" s="105"/>
    </row>
    <row r="38" spans="1:12" s="25" customFormat="1" ht="24" customHeight="1" x14ac:dyDescent="0.2">
      <c r="A38" s="398" t="s">
        <v>322</v>
      </c>
      <c r="B38" s="398"/>
      <c r="C38" s="398"/>
      <c r="D38" s="398"/>
      <c r="E38" s="398"/>
      <c r="F38" s="398"/>
      <c r="G38" s="398"/>
      <c r="H38" s="398"/>
      <c r="I38" s="398"/>
      <c r="J38" s="398"/>
      <c r="K38" s="398"/>
      <c r="L38" s="398"/>
    </row>
    <row r="39" spans="1:12" s="25" customFormat="1" ht="13.5" customHeight="1" x14ac:dyDescent="0.2">
      <c r="A39" s="202"/>
      <c r="B39" s="204"/>
      <c r="C39" s="204"/>
      <c r="D39" s="204"/>
      <c r="E39" s="204"/>
      <c r="F39" s="204"/>
      <c r="G39" s="204"/>
      <c r="H39" s="204"/>
      <c r="I39" s="204"/>
      <c r="J39" s="204"/>
      <c r="K39" s="132"/>
    </row>
    <row r="40" spans="1:12" s="27" customFormat="1" ht="40.5" customHeight="1" x14ac:dyDescent="0.2">
      <c r="A40" s="398" t="s">
        <v>284</v>
      </c>
      <c r="B40" s="399"/>
      <c r="C40" s="399"/>
      <c r="D40" s="399"/>
      <c r="E40" s="399"/>
      <c r="F40" s="399"/>
      <c r="G40" s="399"/>
      <c r="H40" s="399"/>
      <c r="I40" s="399"/>
      <c r="J40" s="399"/>
      <c r="K40" s="140"/>
      <c r="L40" s="105"/>
    </row>
  </sheetData>
  <mergeCells count="4">
    <mergeCell ref="A1:K1"/>
    <mergeCell ref="A40:J40"/>
    <mergeCell ref="A36:J36"/>
    <mergeCell ref="A38:L38"/>
  </mergeCells>
  <phoneticPr fontId="16" type="noConversion"/>
  <hyperlinks>
    <hyperlink ref="A3" location="Sommaire!A2" display="Retour au sommaire"/>
  </hyperlinks>
  <pageMargins left="0.25" right="0.25" top="0.75" bottom="0.75" header="0.3" footer="0.3"/>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X21"/>
  <sheetViews>
    <sheetView showGridLines="0" zoomScaleNormal="100" workbookViewId="0">
      <selection activeCell="A10" sqref="A10"/>
    </sheetView>
  </sheetViews>
  <sheetFormatPr baseColWidth="10" defaultRowHeight="12.75" x14ac:dyDescent="0.2"/>
  <cols>
    <col min="1" max="1" width="26.7109375" style="157" customWidth="1"/>
    <col min="2" max="2" width="14" style="157" customWidth="1"/>
    <col min="3" max="9" width="10" style="157" customWidth="1"/>
    <col min="10" max="10" width="9.42578125" style="157" customWidth="1"/>
    <col min="11" max="11" width="9.85546875" style="157" customWidth="1"/>
    <col min="12" max="16384" width="11.42578125" style="157"/>
  </cols>
  <sheetData>
    <row r="1" spans="1:24" ht="15" x14ac:dyDescent="0.25">
      <c r="A1" s="66" t="s">
        <v>255</v>
      </c>
      <c r="B1" s="59"/>
      <c r="C1" s="59"/>
      <c r="D1" s="59"/>
      <c r="E1" s="59"/>
      <c r="F1" s="59"/>
      <c r="G1" s="59"/>
      <c r="H1" s="59"/>
      <c r="I1" s="59"/>
      <c r="J1" s="363"/>
      <c r="K1" s="363"/>
      <c r="L1" s="363"/>
    </row>
    <row r="2" spans="1:24" ht="12" customHeight="1" x14ac:dyDescent="0.25">
      <c r="A2" s="364" t="s">
        <v>282</v>
      </c>
      <c r="B2" s="59"/>
      <c r="C2" s="59"/>
      <c r="D2" s="59"/>
      <c r="E2" s="59"/>
      <c r="F2" s="59"/>
      <c r="G2" s="59"/>
      <c r="H2" s="59"/>
      <c r="I2" s="59"/>
      <c r="J2" s="59"/>
    </row>
    <row r="3" spans="1:24" ht="13.5" thickBot="1" x14ac:dyDescent="0.25">
      <c r="A3" s="405"/>
      <c r="B3" s="406"/>
      <c r="C3" s="76" t="s">
        <v>75</v>
      </c>
      <c r="D3" s="76" t="s">
        <v>74</v>
      </c>
      <c r="E3" s="76" t="s">
        <v>73</v>
      </c>
      <c r="F3" s="76" t="s">
        <v>70</v>
      </c>
      <c r="G3" s="76" t="s">
        <v>69</v>
      </c>
      <c r="H3" s="77" t="s">
        <v>113</v>
      </c>
      <c r="I3" s="76" t="s">
        <v>116</v>
      </c>
      <c r="J3" s="78" t="s">
        <v>121</v>
      </c>
      <c r="K3" s="78" t="s">
        <v>176</v>
      </c>
      <c r="L3" s="78" t="s">
        <v>211</v>
      </c>
      <c r="M3" s="78" t="s">
        <v>229</v>
      </c>
      <c r="N3" s="78" t="s">
        <v>292</v>
      </c>
    </row>
    <row r="4" spans="1:24" x14ac:dyDescent="0.2">
      <c r="A4" s="407" t="s">
        <v>105</v>
      </c>
      <c r="B4" s="408"/>
      <c r="C4" s="62">
        <v>452616</v>
      </c>
      <c r="D4" s="62">
        <v>496427</v>
      </c>
      <c r="E4" s="62">
        <v>593057</v>
      </c>
      <c r="F4" s="62">
        <v>655858</v>
      </c>
      <c r="G4" s="62">
        <v>681078</v>
      </c>
      <c r="H4" s="60">
        <v>691215</v>
      </c>
      <c r="I4" s="60">
        <v>696983</v>
      </c>
      <c r="J4" s="64">
        <v>712166</v>
      </c>
      <c r="K4" s="64">
        <v>717955</v>
      </c>
      <c r="L4" s="64">
        <v>749562</v>
      </c>
      <c r="M4" s="64">
        <v>720043</v>
      </c>
      <c r="N4" s="64">
        <v>665212</v>
      </c>
    </row>
    <row r="5" spans="1:24" x14ac:dyDescent="0.2">
      <c r="A5" s="409" t="s">
        <v>106</v>
      </c>
      <c r="B5" s="410"/>
      <c r="C5" s="63"/>
      <c r="D5" s="63"/>
      <c r="E5" s="63">
        <v>23344</v>
      </c>
      <c r="F5" s="63">
        <v>33876</v>
      </c>
      <c r="G5" s="63">
        <v>36239</v>
      </c>
      <c r="H5" s="61">
        <v>39110</v>
      </c>
      <c r="I5" s="61">
        <v>41666</v>
      </c>
      <c r="J5" s="65">
        <v>41993</v>
      </c>
      <c r="K5" s="65">
        <v>38757</v>
      </c>
      <c r="L5" s="65">
        <v>45353</v>
      </c>
      <c r="M5" s="65">
        <v>46527</v>
      </c>
      <c r="N5" s="65">
        <v>46269</v>
      </c>
    </row>
    <row r="6" spans="1:24" ht="15" x14ac:dyDescent="0.25">
      <c r="A6" s="411" t="s">
        <v>107</v>
      </c>
      <c r="B6" s="412"/>
      <c r="C6" s="145">
        <v>27.047257835353111</v>
      </c>
      <c r="D6" s="145">
        <v>28.7</v>
      </c>
      <c r="E6" s="145">
        <v>33.437331795752307</v>
      </c>
      <c r="F6" s="145">
        <v>34.536665852406287</v>
      </c>
      <c r="G6" s="145">
        <v>34.759576864189093</v>
      </c>
      <c r="H6" s="146"/>
      <c r="I6" s="147"/>
      <c r="J6" s="148"/>
      <c r="K6" s="148"/>
      <c r="L6" s="148"/>
      <c r="M6" s="148"/>
      <c r="N6" s="148"/>
    </row>
    <row r="7" spans="1:24" ht="13.5" thickBot="1" x14ac:dyDescent="0.25">
      <c r="A7" s="411" t="s">
        <v>146</v>
      </c>
      <c r="B7" s="412"/>
      <c r="C7" s="149"/>
      <c r="D7" s="149"/>
      <c r="E7" s="149"/>
      <c r="F7" s="145">
        <v>37.165641679511012</v>
      </c>
      <c r="G7" s="145">
        <v>37.862299014363536</v>
      </c>
      <c r="H7" s="150">
        <v>37.7005168867572</v>
      </c>
      <c r="I7" s="150">
        <v>37.363845157607628</v>
      </c>
      <c r="J7" s="151">
        <v>37.725072691241927</v>
      </c>
      <c r="K7" s="151">
        <v>36.792318430314666</v>
      </c>
      <c r="L7" s="151">
        <v>38.4</v>
      </c>
      <c r="M7" s="151">
        <v>37.700000000000003</v>
      </c>
      <c r="N7" s="151">
        <v>36.299999999999997</v>
      </c>
    </row>
    <row r="8" spans="1:24" s="158" customFormat="1" ht="12.75" customHeight="1" x14ac:dyDescent="0.2">
      <c r="A8" s="413" t="s">
        <v>345</v>
      </c>
      <c r="B8" s="414"/>
      <c r="C8" s="142"/>
      <c r="D8" s="142"/>
      <c r="E8" s="142"/>
      <c r="F8" s="142"/>
      <c r="G8" s="142"/>
      <c r="H8" s="142"/>
      <c r="I8" s="142"/>
      <c r="J8" s="142"/>
      <c r="K8" s="142"/>
      <c r="L8" s="142"/>
      <c r="M8" s="142"/>
      <c r="N8" s="142"/>
    </row>
    <row r="9" spans="1:24" s="159" customFormat="1" ht="15" x14ac:dyDescent="0.2">
      <c r="A9" s="143" t="s">
        <v>346</v>
      </c>
      <c r="B9" s="144" t="s">
        <v>147</v>
      </c>
      <c r="C9" s="152">
        <v>26.6</v>
      </c>
      <c r="D9" s="152">
        <v>28.8</v>
      </c>
      <c r="E9" s="152">
        <v>33.800000000000004</v>
      </c>
      <c r="F9" s="152">
        <v>34.699999999999996</v>
      </c>
      <c r="G9" s="152">
        <v>34.5</v>
      </c>
      <c r="H9" s="152"/>
      <c r="I9" s="152"/>
      <c r="J9" s="152"/>
      <c r="K9" s="152"/>
      <c r="L9" s="152"/>
      <c r="M9" s="152"/>
      <c r="N9" s="152"/>
      <c r="O9" s="208"/>
      <c r="P9" s="208"/>
      <c r="Q9" s="208"/>
      <c r="R9" s="208"/>
      <c r="S9" s="378"/>
    </row>
    <row r="10" spans="1:24" x14ac:dyDescent="0.2">
      <c r="A10" s="143" t="s">
        <v>77</v>
      </c>
      <c r="B10" s="144" t="s">
        <v>148</v>
      </c>
      <c r="C10" s="152"/>
      <c r="D10" s="152"/>
      <c r="E10" s="152"/>
      <c r="F10" s="152">
        <v>39.5</v>
      </c>
      <c r="G10" s="152">
        <v>39.900000000000006</v>
      </c>
      <c r="H10" s="152">
        <v>40</v>
      </c>
      <c r="I10" s="152">
        <v>39.5</v>
      </c>
      <c r="J10" s="152">
        <v>40</v>
      </c>
      <c r="K10" s="152">
        <v>38.986622735466064</v>
      </c>
      <c r="L10" s="152">
        <v>41.021434441602331</v>
      </c>
      <c r="M10" s="152">
        <v>40.299999999999997</v>
      </c>
      <c r="N10" s="152">
        <v>39.1</v>
      </c>
      <c r="O10" s="208"/>
      <c r="P10" s="208"/>
      <c r="Q10" s="208"/>
      <c r="R10" s="208"/>
      <c r="S10" s="208"/>
    </row>
    <row r="11" spans="1:24" x14ac:dyDescent="0.2">
      <c r="A11" s="143" t="s">
        <v>149</v>
      </c>
      <c r="B11" s="144" t="s">
        <v>147</v>
      </c>
      <c r="C11" s="152">
        <v>42.4</v>
      </c>
      <c r="D11" s="152">
        <v>42.8</v>
      </c>
      <c r="E11" s="152">
        <v>44.1</v>
      </c>
      <c r="F11" s="152">
        <v>47.5</v>
      </c>
      <c r="G11" s="152">
        <v>50.3</v>
      </c>
      <c r="H11" s="152"/>
      <c r="I11" s="152"/>
      <c r="J11" s="152"/>
      <c r="K11" s="152"/>
      <c r="L11" s="152"/>
      <c r="M11" s="152"/>
      <c r="N11" s="152"/>
      <c r="O11" s="208"/>
      <c r="P11" s="208"/>
      <c r="Q11" s="208"/>
      <c r="R11" s="208"/>
      <c r="S11" s="208"/>
    </row>
    <row r="12" spans="1:24" x14ac:dyDescent="0.2">
      <c r="A12" s="143" t="s">
        <v>150</v>
      </c>
      <c r="B12" s="144" t="s">
        <v>148</v>
      </c>
      <c r="C12" s="152"/>
      <c r="D12" s="152"/>
      <c r="E12" s="152"/>
      <c r="F12" s="152">
        <v>51</v>
      </c>
      <c r="G12" s="152">
        <v>53.800000000000004</v>
      </c>
      <c r="H12" s="152">
        <v>54.300000000000004</v>
      </c>
      <c r="I12" s="152">
        <v>55.000000000000007</v>
      </c>
      <c r="J12" s="152">
        <v>54.6</v>
      </c>
      <c r="K12" s="152">
        <v>54.049334709373042</v>
      </c>
      <c r="L12" s="152">
        <v>54.931435323861614</v>
      </c>
      <c r="M12" s="152">
        <v>54.3</v>
      </c>
      <c r="N12" s="152">
        <v>52.6</v>
      </c>
      <c r="O12" s="208"/>
      <c r="P12" s="208"/>
      <c r="Q12" s="208"/>
      <c r="R12" s="208"/>
      <c r="S12" s="208"/>
    </row>
    <row r="13" spans="1:24" ht="15" x14ac:dyDescent="0.25">
      <c r="A13" s="143" t="s">
        <v>49</v>
      </c>
      <c r="B13" s="144" t="s">
        <v>147</v>
      </c>
      <c r="C13" s="152">
        <v>17.100000000000001</v>
      </c>
      <c r="D13" s="152">
        <v>19</v>
      </c>
      <c r="E13" s="152">
        <v>25.7</v>
      </c>
      <c r="F13" s="152">
        <v>27.700000000000003</v>
      </c>
      <c r="G13" s="152">
        <v>28.4</v>
      </c>
      <c r="H13" s="152"/>
      <c r="I13" s="152"/>
      <c r="J13" s="152"/>
      <c r="K13" s="152"/>
      <c r="L13" s="152"/>
      <c r="M13" s="152"/>
      <c r="N13" s="152"/>
      <c r="O13" s="208"/>
      <c r="P13" s="208"/>
      <c r="Q13" s="208"/>
      <c r="R13" s="208"/>
      <c r="S13" s="208"/>
      <c r="T13" s="59"/>
      <c r="U13" s="59"/>
      <c r="V13" s="59"/>
      <c r="W13" s="59"/>
      <c r="X13" s="59"/>
    </row>
    <row r="14" spans="1:24" ht="15" x14ac:dyDescent="0.25">
      <c r="A14" s="143" t="s">
        <v>49</v>
      </c>
      <c r="B14" s="144" t="s">
        <v>148</v>
      </c>
      <c r="C14" s="152"/>
      <c r="D14" s="152"/>
      <c r="E14" s="152"/>
      <c r="F14" s="152">
        <v>27.6</v>
      </c>
      <c r="G14" s="152">
        <v>28.4</v>
      </c>
      <c r="H14" s="152">
        <v>28.799999999999997</v>
      </c>
      <c r="I14" s="152">
        <v>28.9</v>
      </c>
      <c r="J14" s="152">
        <v>28.799999999999997</v>
      </c>
      <c r="K14" s="152">
        <v>28.307677318784101</v>
      </c>
      <c r="L14" s="152">
        <v>27.321772170397253</v>
      </c>
      <c r="M14" s="152">
        <v>26.8</v>
      </c>
      <c r="N14" s="152">
        <v>26.5</v>
      </c>
      <c r="O14" s="208"/>
      <c r="P14" s="208"/>
      <c r="Q14" s="208"/>
      <c r="R14" s="208"/>
      <c r="S14" s="208"/>
      <c r="T14" s="59"/>
      <c r="U14" s="59"/>
      <c r="V14" s="59"/>
      <c r="W14" s="59"/>
      <c r="X14" s="59"/>
    </row>
    <row r="15" spans="1:24" ht="15" customHeight="1" x14ac:dyDescent="0.25">
      <c r="A15" s="402" t="s">
        <v>343</v>
      </c>
      <c r="B15" s="402"/>
      <c r="C15" s="402"/>
      <c r="D15" s="402"/>
      <c r="E15" s="402"/>
      <c r="F15" s="402"/>
      <c r="G15" s="402"/>
      <c r="H15" s="402"/>
      <c r="I15" s="402"/>
      <c r="J15" s="59"/>
      <c r="K15" s="59"/>
      <c r="L15" s="293"/>
      <c r="M15" s="59"/>
      <c r="N15" s="59"/>
      <c r="O15" s="59"/>
      <c r="P15" s="59"/>
      <c r="Q15" s="59"/>
      <c r="R15" s="59"/>
      <c r="S15" s="59"/>
      <c r="T15" s="59"/>
      <c r="U15" s="59"/>
      <c r="V15" s="59"/>
      <c r="W15" s="59"/>
      <c r="X15" s="59"/>
    </row>
    <row r="16" spans="1:24" ht="28.5" customHeight="1" x14ac:dyDescent="0.25">
      <c r="A16" s="403" t="s">
        <v>344</v>
      </c>
      <c r="B16" s="403"/>
      <c r="C16" s="403"/>
      <c r="D16" s="403"/>
      <c r="E16" s="403"/>
      <c r="F16" s="403"/>
      <c r="G16" s="403"/>
      <c r="H16" s="403"/>
      <c r="I16" s="403"/>
      <c r="J16" s="59"/>
      <c r="K16" s="59"/>
      <c r="L16" s="59"/>
      <c r="M16" s="59"/>
      <c r="N16" s="59"/>
      <c r="O16" s="59"/>
      <c r="P16" s="59"/>
      <c r="Q16" s="59"/>
      <c r="R16" s="59"/>
      <c r="S16" s="59"/>
      <c r="T16" s="59"/>
      <c r="U16" s="59"/>
      <c r="V16" s="59"/>
      <c r="W16" s="59"/>
      <c r="X16" s="59"/>
    </row>
    <row r="17" spans="1:24" x14ac:dyDescent="0.2">
      <c r="A17" s="404" t="s">
        <v>323</v>
      </c>
      <c r="B17" s="404"/>
      <c r="C17" s="404"/>
      <c r="D17" s="376"/>
      <c r="E17" s="25"/>
      <c r="F17" s="25"/>
      <c r="G17" s="25"/>
      <c r="H17" s="25"/>
    </row>
    <row r="18" spans="1:24" ht="29.25" customHeight="1" x14ac:dyDescent="0.2">
      <c r="A18" s="404" t="s">
        <v>283</v>
      </c>
      <c r="B18" s="404"/>
      <c r="C18" s="404"/>
      <c r="D18" s="404"/>
      <c r="E18" s="404"/>
      <c r="F18" s="404"/>
      <c r="G18" s="404"/>
      <c r="H18" s="404"/>
    </row>
    <row r="19" spans="1:24" ht="15" x14ac:dyDescent="0.25">
      <c r="A19" s="59"/>
      <c r="B19" s="59"/>
      <c r="C19" s="59"/>
      <c r="D19" s="59"/>
      <c r="E19" s="59"/>
      <c r="F19" s="59"/>
      <c r="G19" s="59"/>
      <c r="H19" s="59"/>
      <c r="I19" s="59"/>
      <c r="J19" s="59"/>
      <c r="K19" s="59"/>
      <c r="L19" s="59"/>
      <c r="M19" s="59"/>
      <c r="N19" s="59"/>
      <c r="O19" s="59"/>
      <c r="P19" s="59"/>
      <c r="Q19" s="59"/>
      <c r="R19" s="59"/>
      <c r="S19" s="59"/>
      <c r="T19" s="59"/>
      <c r="U19" s="59"/>
      <c r="V19" s="59"/>
      <c r="W19" s="59"/>
      <c r="X19" s="59"/>
    </row>
    <row r="20" spans="1:24" ht="15" x14ac:dyDescent="0.25">
      <c r="A20" s="59"/>
      <c r="B20" s="59"/>
      <c r="C20" s="59"/>
      <c r="D20" s="59"/>
      <c r="E20" s="59"/>
      <c r="F20" s="59"/>
      <c r="G20" s="59"/>
      <c r="H20" s="59"/>
      <c r="I20" s="59"/>
      <c r="J20" s="59"/>
      <c r="K20" s="59"/>
      <c r="L20" s="59"/>
      <c r="M20" s="59"/>
      <c r="N20" s="59"/>
      <c r="O20" s="59"/>
      <c r="P20" s="59"/>
      <c r="Q20" s="59"/>
      <c r="R20" s="59"/>
      <c r="S20" s="59"/>
      <c r="T20" s="59"/>
      <c r="U20" s="59"/>
      <c r="V20" s="59"/>
      <c r="W20" s="59"/>
      <c r="X20" s="59"/>
    </row>
    <row r="21" spans="1:24" ht="15" x14ac:dyDescent="0.25">
      <c r="A21" s="59"/>
      <c r="B21" s="59"/>
      <c r="C21" s="59"/>
      <c r="D21" s="59"/>
      <c r="E21" s="59"/>
      <c r="F21" s="59"/>
      <c r="G21" s="59"/>
      <c r="H21" s="59"/>
      <c r="I21" s="59"/>
      <c r="J21" s="59"/>
      <c r="K21" s="59"/>
      <c r="L21" s="59"/>
      <c r="M21" s="59"/>
      <c r="N21" s="59"/>
      <c r="O21" s="59"/>
      <c r="P21" s="59"/>
      <c r="Q21" s="59"/>
      <c r="R21" s="59"/>
      <c r="S21" s="59"/>
      <c r="T21" s="59"/>
      <c r="U21" s="59"/>
      <c r="V21" s="59"/>
      <c r="W21" s="59"/>
      <c r="X21" s="59"/>
    </row>
  </sheetData>
  <mergeCells count="10">
    <mergeCell ref="A15:I15"/>
    <mergeCell ref="A16:I16"/>
    <mergeCell ref="A17:C17"/>
    <mergeCell ref="A18:H18"/>
    <mergeCell ref="A3:B3"/>
    <mergeCell ref="A4:B4"/>
    <mergeCell ref="A5:B5"/>
    <mergeCell ref="A6:B6"/>
    <mergeCell ref="A7:B7"/>
    <mergeCell ref="A8:B8"/>
  </mergeCells>
  <hyperlinks>
    <hyperlink ref="A2" location="Sommaire!A2" display="Retour au sommaire"/>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M78"/>
  <sheetViews>
    <sheetView showGridLines="0" zoomScaleNormal="100" workbookViewId="0">
      <pane xSplit="1" ySplit="4" topLeftCell="B5" activePane="bottomRight" state="frozen"/>
      <selection pane="topRight" activeCell="B1" sqref="B1"/>
      <selection pane="bottomLeft" activeCell="A4" sqref="A4"/>
      <selection pane="bottomRight" activeCell="D29" sqref="D29"/>
    </sheetView>
  </sheetViews>
  <sheetFormatPr baseColWidth="10" defaultRowHeight="12.75" x14ac:dyDescent="0.2"/>
  <cols>
    <col min="1" max="1" width="26" style="6" customWidth="1"/>
    <col min="2" max="2" width="12.42578125" style="6" customWidth="1"/>
    <col min="3" max="3" width="13.85546875" style="6" customWidth="1"/>
    <col min="4" max="4" width="12.42578125" style="6" customWidth="1"/>
    <col min="5" max="5" width="17.7109375" style="6" customWidth="1"/>
    <col min="6" max="7" width="12.42578125" style="6" customWidth="1"/>
    <col min="8" max="8" width="15.28515625" style="6" customWidth="1"/>
    <col min="9" max="9" width="14.85546875" style="6" customWidth="1"/>
    <col min="10" max="10" width="15.7109375" style="6" customWidth="1"/>
    <col min="11" max="11" width="12.42578125" style="6" customWidth="1"/>
    <col min="12" max="12" width="15.140625" style="6" customWidth="1"/>
    <col min="13" max="13" width="12.7109375" style="39" customWidth="1"/>
    <col min="14" max="16384" width="11.42578125" style="6"/>
  </cols>
  <sheetData>
    <row r="1" spans="1:13" s="5" customFormat="1" ht="15" customHeight="1" x14ac:dyDescent="0.25">
      <c r="A1" s="300" t="s">
        <v>290</v>
      </c>
      <c r="B1" s="301"/>
      <c r="C1" s="301"/>
      <c r="D1" s="301"/>
      <c r="E1" s="301"/>
      <c r="F1" s="301"/>
      <c r="G1" s="301"/>
      <c r="H1" s="301"/>
      <c r="I1" s="301"/>
      <c r="J1" s="301"/>
      <c r="K1" s="301"/>
      <c r="L1" s="301"/>
      <c r="M1" s="302"/>
    </row>
    <row r="2" spans="1:13" s="5" customFormat="1" ht="13.5" customHeight="1" x14ac:dyDescent="0.2">
      <c r="A2" s="176" t="s">
        <v>200</v>
      </c>
      <c r="B2" s="301"/>
      <c r="C2" s="301"/>
      <c r="D2" s="301"/>
      <c r="E2" s="301"/>
      <c r="F2" s="301"/>
      <c r="G2" s="301"/>
      <c r="H2" s="301"/>
      <c r="I2" s="301"/>
      <c r="J2" s="301"/>
      <c r="K2" s="301"/>
      <c r="L2" s="301"/>
      <c r="M2" s="302"/>
    </row>
    <row r="3" spans="1:13" s="5" customFormat="1" ht="13.5" customHeight="1" x14ac:dyDescent="0.2">
      <c r="A3" s="364" t="s">
        <v>282</v>
      </c>
      <c r="B3" s="301"/>
      <c r="C3" s="301"/>
      <c r="D3" s="301"/>
      <c r="E3" s="301"/>
      <c r="F3" s="301"/>
      <c r="G3" s="301"/>
      <c r="H3" s="301"/>
      <c r="I3" s="301"/>
      <c r="J3" s="301"/>
      <c r="K3" s="301"/>
      <c r="L3" s="301"/>
      <c r="M3" s="302"/>
    </row>
    <row r="4" spans="1:13" ht="76.5" x14ac:dyDescent="0.2">
      <c r="A4" s="303" t="s">
        <v>10</v>
      </c>
      <c r="B4" s="303" t="s">
        <v>43</v>
      </c>
      <c r="C4" s="303" t="s">
        <v>0</v>
      </c>
      <c r="D4" s="303" t="s">
        <v>327</v>
      </c>
      <c r="E4" s="303" t="s">
        <v>1</v>
      </c>
      <c r="F4" s="303" t="s">
        <v>214</v>
      </c>
      <c r="G4" s="303" t="s">
        <v>233</v>
      </c>
      <c r="H4" s="303" t="s">
        <v>45</v>
      </c>
      <c r="I4" s="303" t="s">
        <v>109</v>
      </c>
      <c r="J4" s="303" t="s">
        <v>50</v>
      </c>
      <c r="K4" s="303" t="s">
        <v>2</v>
      </c>
      <c r="L4" s="303" t="s">
        <v>9</v>
      </c>
      <c r="M4" s="303" t="s">
        <v>289</v>
      </c>
    </row>
    <row r="5" spans="1:13" ht="16.5" customHeight="1" x14ac:dyDescent="0.2">
      <c r="A5" s="304" t="s">
        <v>11</v>
      </c>
      <c r="B5" s="305">
        <v>49619</v>
      </c>
      <c r="C5" s="305">
        <v>4319</v>
      </c>
      <c r="D5" s="305">
        <v>3819</v>
      </c>
      <c r="E5" s="305">
        <v>17326</v>
      </c>
      <c r="F5" s="305">
        <v>9517</v>
      </c>
      <c r="G5" s="305">
        <v>8897</v>
      </c>
      <c r="H5" s="305">
        <v>3588</v>
      </c>
      <c r="I5" s="305">
        <v>6467</v>
      </c>
      <c r="J5" s="306">
        <v>7864</v>
      </c>
      <c r="K5" s="305">
        <v>5754</v>
      </c>
      <c r="L5" s="305">
        <v>117170</v>
      </c>
      <c r="M5" s="307">
        <v>-3.10923675</v>
      </c>
    </row>
    <row r="6" spans="1:13" ht="16.5" customHeight="1" x14ac:dyDescent="0.2">
      <c r="A6" s="304" t="s">
        <v>12</v>
      </c>
      <c r="B6" s="305">
        <v>17959</v>
      </c>
      <c r="C6" s="305">
        <v>5374</v>
      </c>
      <c r="D6" s="305">
        <v>3139</v>
      </c>
      <c r="E6" s="305">
        <v>6637</v>
      </c>
      <c r="F6" s="305">
        <v>6045</v>
      </c>
      <c r="G6" s="305">
        <v>3936</v>
      </c>
      <c r="H6" s="305">
        <v>3071</v>
      </c>
      <c r="I6" s="305">
        <v>478</v>
      </c>
      <c r="J6" s="306">
        <v>4785</v>
      </c>
      <c r="K6" s="305">
        <v>965</v>
      </c>
      <c r="L6" s="305">
        <v>52389</v>
      </c>
      <c r="M6" s="307">
        <v>-3.6949208599999999</v>
      </c>
    </row>
    <row r="7" spans="1:13" ht="16.5" customHeight="1" x14ac:dyDescent="0.2">
      <c r="A7" s="304" t="s">
        <v>13</v>
      </c>
      <c r="B7" s="305">
        <v>13872</v>
      </c>
      <c r="C7" s="305">
        <v>2730</v>
      </c>
      <c r="D7" s="305">
        <v>2101</v>
      </c>
      <c r="E7" s="305">
        <v>5938</v>
      </c>
      <c r="F7" s="305">
        <v>3725</v>
      </c>
      <c r="G7" s="305">
        <v>3047</v>
      </c>
      <c r="H7" s="305">
        <v>1367</v>
      </c>
      <c r="I7" s="305">
        <v>690</v>
      </c>
      <c r="J7" s="306">
        <v>2758</v>
      </c>
      <c r="K7" s="305">
        <v>511</v>
      </c>
      <c r="L7" s="305">
        <v>36739</v>
      </c>
      <c r="M7" s="307">
        <v>-2.9609086100000002</v>
      </c>
    </row>
    <row r="8" spans="1:13" ht="16.5" customHeight="1" x14ac:dyDescent="0.2">
      <c r="A8" s="304" t="s">
        <v>14</v>
      </c>
      <c r="B8" s="305">
        <v>47825</v>
      </c>
      <c r="C8" s="305">
        <v>5798</v>
      </c>
      <c r="D8" s="305">
        <v>4471</v>
      </c>
      <c r="E8" s="305">
        <v>20071</v>
      </c>
      <c r="F8" s="305">
        <v>10517</v>
      </c>
      <c r="G8" s="305">
        <v>8945</v>
      </c>
      <c r="H8" s="305">
        <v>3977</v>
      </c>
      <c r="I8" s="305">
        <v>18338</v>
      </c>
      <c r="J8" s="306">
        <v>7330</v>
      </c>
      <c r="K8" s="305">
        <v>11837</v>
      </c>
      <c r="L8" s="305">
        <v>139109</v>
      </c>
      <c r="M8" s="307">
        <v>-2.0828054200000001</v>
      </c>
    </row>
    <row r="9" spans="1:13" ht="16.5" customHeight="1" x14ac:dyDescent="0.2">
      <c r="A9" s="304" t="s">
        <v>15</v>
      </c>
      <c r="B9" s="305">
        <v>20265</v>
      </c>
      <c r="C9" s="305">
        <v>2565</v>
      </c>
      <c r="D9" s="305">
        <v>2499</v>
      </c>
      <c r="E9" s="305">
        <v>7323</v>
      </c>
      <c r="F9" s="305">
        <v>4942</v>
      </c>
      <c r="G9" s="305">
        <v>2897</v>
      </c>
      <c r="H9" s="305">
        <v>1705</v>
      </c>
      <c r="I9" s="305">
        <v>2050</v>
      </c>
      <c r="J9" s="306">
        <v>3381</v>
      </c>
      <c r="K9" s="305">
        <v>3929</v>
      </c>
      <c r="L9" s="305">
        <v>51556</v>
      </c>
      <c r="M9" s="307">
        <v>-3.2103030100000001</v>
      </c>
    </row>
    <row r="10" spans="1:13" ht="16.5" customHeight="1" x14ac:dyDescent="0.2">
      <c r="A10" s="304" t="s">
        <v>16</v>
      </c>
      <c r="B10" s="305">
        <v>2842</v>
      </c>
      <c r="C10" s="305">
        <v>48</v>
      </c>
      <c r="D10" s="305">
        <v>447</v>
      </c>
      <c r="E10" s="305">
        <v>793</v>
      </c>
      <c r="F10" s="305">
        <v>477</v>
      </c>
      <c r="G10" s="305">
        <v>388</v>
      </c>
      <c r="H10" s="305">
        <v>92</v>
      </c>
      <c r="I10" s="305">
        <v>20</v>
      </c>
      <c r="J10" s="306">
        <v>469</v>
      </c>
      <c r="K10" s="305">
        <v>180</v>
      </c>
      <c r="L10" s="305">
        <v>5756</v>
      </c>
      <c r="M10" s="307">
        <v>-5.2977953299999996</v>
      </c>
    </row>
    <row r="11" spans="1:13" ht="16.5" customHeight="1" x14ac:dyDescent="0.2">
      <c r="A11" s="304" t="s">
        <v>17</v>
      </c>
      <c r="B11" s="305">
        <v>17069</v>
      </c>
      <c r="C11" s="305">
        <v>2331</v>
      </c>
      <c r="D11" s="305">
        <v>2476</v>
      </c>
      <c r="E11" s="305">
        <v>8475</v>
      </c>
      <c r="F11" s="305">
        <v>4799</v>
      </c>
      <c r="G11" s="305">
        <v>3639</v>
      </c>
      <c r="H11" s="305">
        <v>2230</v>
      </c>
      <c r="I11" s="305">
        <v>2492</v>
      </c>
      <c r="J11" s="306">
        <v>3488</v>
      </c>
      <c r="K11" s="305">
        <v>1776</v>
      </c>
      <c r="L11" s="305">
        <v>48775</v>
      </c>
      <c r="M11" s="307">
        <v>-1.96374015</v>
      </c>
    </row>
    <row r="12" spans="1:13" ht="16.5" customHeight="1" x14ac:dyDescent="0.2">
      <c r="A12" s="304" t="s">
        <v>18</v>
      </c>
      <c r="B12" s="305">
        <v>37466</v>
      </c>
      <c r="C12" s="305">
        <v>6282</v>
      </c>
      <c r="D12" s="305">
        <v>6268</v>
      </c>
      <c r="E12" s="305">
        <v>14500</v>
      </c>
      <c r="F12" s="305">
        <v>9057</v>
      </c>
      <c r="G12" s="305">
        <v>8590</v>
      </c>
      <c r="H12" s="305">
        <v>3469</v>
      </c>
      <c r="I12" s="305">
        <v>7813</v>
      </c>
      <c r="J12" s="306">
        <v>5641</v>
      </c>
      <c r="K12" s="305">
        <v>2847</v>
      </c>
      <c r="L12" s="305">
        <v>101933</v>
      </c>
      <c r="M12" s="307">
        <v>-2.9819351599999999</v>
      </c>
    </row>
    <row r="13" spans="1:13" ht="16.5" customHeight="1" x14ac:dyDescent="0.2">
      <c r="A13" s="304" t="s">
        <v>19</v>
      </c>
      <c r="B13" s="305">
        <v>83838</v>
      </c>
      <c r="C13" s="305">
        <v>12844</v>
      </c>
      <c r="D13" s="305">
        <v>6846</v>
      </c>
      <c r="E13" s="305">
        <v>24172</v>
      </c>
      <c r="F13" s="305">
        <v>17793</v>
      </c>
      <c r="G13" s="305">
        <v>9090</v>
      </c>
      <c r="H13" s="305">
        <v>6086</v>
      </c>
      <c r="I13" s="305">
        <v>17870</v>
      </c>
      <c r="J13" s="306">
        <v>12079</v>
      </c>
      <c r="K13" s="305">
        <v>8313</v>
      </c>
      <c r="L13" s="305">
        <v>198931</v>
      </c>
      <c r="M13" s="307">
        <v>-1.7978704000000001</v>
      </c>
    </row>
    <row r="14" spans="1:13" ht="16.5" customHeight="1" x14ac:dyDescent="0.2">
      <c r="A14" s="304" t="s">
        <v>20</v>
      </c>
      <c r="B14" s="305">
        <v>9187</v>
      </c>
      <c r="C14" s="305">
        <v>1169</v>
      </c>
      <c r="D14" s="305">
        <v>1584</v>
      </c>
      <c r="E14" s="305">
        <v>4499</v>
      </c>
      <c r="F14" s="305">
        <v>3038</v>
      </c>
      <c r="G14" s="305">
        <v>1077</v>
      </c>
      <c r="H14" s="305">
        <v>768</v>
      </c>
      <c r="I14" s="305">
        <v>72</v>
      </c>
      <c r="J14" s="306">
        <v>2224</v>
      </c>
      <c r="K14" s="305">
        <v>480</v>
      </c>
      <c r="L14" s="305">
        <v>24098</v>
      </c>
      <c r="M14" s="307">
        <v>-6.6511718000000002</v>
      </c>
    </row>
    <row r="15" spans="1:13" ht="16.5" customHeight="1" x14ac:dyDescent="0.2">
      <c r="A15" s="304" t="s">
        <v>21</v>
      </c>
      <c r="B15" s="305">
        <v>74468</v>
      </c>
      <c r="C15" s="305">
        <v>17055</v>
      </c>
      <c r="D15" s="305">
        <v>6729</v>
      </c>
      <c r="E15" s="305">
        <v>34399</v>
      </c>
      <c r="F15" s="305">
        <v>10236</v>
      </c>
      <c r="G15" s="305">
        <v>12093</v>
      </c>
      <c r="H15" s="305">
        <v>7469</v>
      </c>
      <c r="I15" s="305">
        <v>25843</v>
      </c>
      <c r="J15" s="306">
        <v>8237</v>
      </c>
      <c r="K15" s="305">
        <v>23030</v>
      </c>
      <c r="L15" s="305">
        <v>219559</v>
      </c>
      <c r="M15" s="307">
        <v>-0.51293436999999997</v>
      </c>
    </row>
    <row r="16" spans="1:13" ht="16.5" customHeight="1" x14ac:dyDescent="0.2">
      <c r="A16" s="304" t="s">
        <v>22</v>
      </c>
      <c r="B16" s="305">
        <v>55134</v>
      </c>
      <c r="C16" s="305">
        <v>4016</v>
      </c>
      <c r="D16" s="305">
        <v>3508</v>
      </c>
      <c r="E16" s="305">
        <v>19787</v>
      </c>
      <c r="F16" s="305">
        <v>9401</v>
      </c>
      <c r="G16" s="305">
        <v>7866</v>
      </c>
      <c r="H16" s="305">
        <v>3292</v>
      </c>
      <c r="I16" s="305">
        <v>6911</v>
      </c>
      <c r="J16" s="306">
        <v>6037</v>
      </c>
      <c r="K16" s="305">
        <v>6617</v>
      </c>
      <c r="L16" s="305">
        <v>122569</v>
      </c>
      <c r="M16" s="307">
        <v>-1.9173368500000001</v>
      </c>
    </row>
    <row r="17" spans="1:13" ht="16.5" customHeight="1" x14ac:dyDescent="0.2">
      <c r="A17" s="304" t="s">
        <v>23</v>
      </c>
      <c r="B17" s="305">
        <v>34429</v>
      </c>
      <c r="C17" s="305">
        <v>7025</v>
      </c>
      <c r="D17" s="305">
        <v>5068</v>
      </c>
      <c r="E17" s="305">
        <v>12275</v>
      </c>
      <c r="F17" s="305">
        <v>7387</v>
      </c>
      <c r="G17" s="305">
        <v>5687</v>
      </c>
      <c r="H17" s="305">
        <v>2612</v>
      </c>
      <c r="I17" s="305">
        <v>2643</v>
      </c>
      <c r="J17" s="306">
        <v>6200</v>
      </c>
      <c r="K17" s="305">
        <v>3113</v>
      </c>
      <c r="L17" s="305">
        <v>86439</v>
      </c>
      <c r="M17" s="307">
        <v>-4.0951958299999998</v>
      </c>
    </row>
    <row r="18" spans="1:13" ht="16.5" customHeight="1" x14ac:dyDescent="0.2">
      <c r="A18" s="304" t="s">
        <v>24</v>
      </c>
      <c r="B18" s="305">
        <v>56033</v>
      </c>
      <c r="C18" s="305">
        <v>11239</v>
      </c>
      <c r="D18" s="305">
        <v>5328</v>
      </c>
      <c r="E18" s="305">
        <v>18535</v>
      </c>
      <c r="F18" s="305">
        <v>13980</v>
      </c>
      <c r="G18" s="305">
        <v>12876</v>
      </c>
      <c r="H18" s="305">
        <v>4699</v>
      </c>
      <c r="I18" s="305">
        <v>10598</v>
      </c>
      <c r="J18" s="306">
        <v>6492</v>
      </c>
      <c r="K18" s="305">
        <v>11905</v>
      </c>
      <c r="L18" s="305">
        <v>151685</v>
      </c>
      <c r="M18" s="307">
        <v>-1.09284629</v>
      </c>
    </row>
    <row r="19" spans="1:13" ht="16.5" customHeight="1" x14ac:dyDescent="0.2">
      <c r="A19" s="304" t="s">
        <v>25</v>
      </c>
      <c r="B19" s="305">
        <v>26867</v>
      </c>
      <c r="C19" s="305">
        <v>2520</v>
      </c>
      <c r="D19" s="305">
        <v>3194</v>
      </c>
      <c r="E19" s="305">
        <v>7790</v>
      </c>
      <c r="F19" s="305">
        <v>5693</v>
      </c>
      <c r="G19" s="305">
        <v>5245</v>
      </c>
      <c r="H19" s="305">
        <v>2654</v>
      </c>
      <c r="I19" s="305">
        <v>7803</v>
      </c>
      <c r="J19" s="306">
        <v>4290</v>
      </c>
      <c r="K19" s="305">
        <v>2305</v>
      </c>
      <c r="L19" s="305">
        <v>68361</v>
      </c>
      <c r="M19" s="307">
        <v>-1.7971039499999999</v>
      </c>
    </row>
    <row r="20" spans="1:13" ht="17.25" customHeight="1" x14ac:dyDescent="0.2">
      <c r="A20" s="304" t="s">
        <v>175</v>
      </c>
      <c r="B20" s="305">
        <v>46745</v>
      </c>
      <c r="C20" s="305">
        <v>6959</v>
      </c>
      <c r="D20" s="305">
        <v>5911</v>
      </c>
      <c r="E20" s="305">
        <v>14177</v>
      </c>
      <c r="F20" s="305">
        <v>10602</v>
      </c>
      <c r="G20" s="305">
        <v>8237</v>
      </c>
      <c r="H20" s="305">
        <v>3196</v>
      </c>
      <c r="I20" s="305">
        <v>8705</v>
      </c>
      <c r="J20" s="306">
        <v>7002</v>
      </c>
      <c r="K20" s="305">
        <v>3496</v>
      </c>
      <c r="L20" s="305">
        <v>115030</v>
      </c>
      <c r="M20" s="307">
        <v>-1.1744288899999999</v>
      </c>
    </row>
    <row r="21" spans="1:13" ht="16.5" customHeight="1" x14ac:dyDescent="0.2">
      <c r="A21" s="304" t="s">
        <v>26</v>
      </c>
      <c r="B21" s="305">
        <v>27060</v>
      </c>
      <c r="C21" s="305">
        <v>3022</v>
      </c>
      <c r="D21" s="305">
        <v>3645</v>
      </c>
      <c r="E21" s="305">
        <v>9228</v>
      </c>
      <c r="F21" s="305">
        <v>7836</v>
      </c>
      <c r="G21" s="305">
        <v>5957</v>
      </c>
      <c r="H21" s="305">
        <v>3222</v>
      </c>
      <c r="I21" s="305">
        <v>2027</v>
      </c>
      <c r="J21" s="306">
        <v>5769</v>
      </c>
      <c r="K21" s="305">
        <v>2055</v>
      </c>
      <c r="L21" s="305">
        <v>69821</v>
      </c>
      <c r="M21" s="307">
        <v>-4.0880805499999999</v>
      </c>
    </row>
    <row r="22" spans="1:13" ht="16.5" customHeight="1" x14ac:dyDescent="0.2">
      <c r="A22" s="304" t="s">
        <v>27</v>
      </c>
      <c r="B22" s="305">
        <v>26038</v>
      </c>
      <c r="C22" s="305">
        <v>2834</v>
      </c>
      <c r="D22" s="305">
        <v>2746</v>
      </c>
      <c r="E22" s="305">
        <v>6071</v>
      </c>
      <c r="F22" s="305">
        <v>4865</v>
      </c>
      <c r="G22" s="305">
        <v>4737</v>
      </c>
      <c r="H22" s="305">
        <v>1107</v>
      </c>
      <c r="I22" s="305">
        <v>3449</v>
      </c>
      <c r="J22" s="306">
        <v>3390</v>
      </c>
      <c r="K22" s="305">
        <v>1312</v>
      </c>
      <c r="L22" s="305">
        <v>56549</v>
      </c>
      <c r="M22" s="307">
        <v>-3.5904867399999998</v>
      </c>
    </row>
    <row r="23" spans="1:13" ht="16.5" customHeight="1" x14ac:dyDescent="0.2">
      <c r="A23" s="304" t="s">
        <v>28</v>
      </c>
      <c r="B23" s="305">
        <v>14944</v>
      </c>
      <c r="C23" s="305">
        <v>2710</v>
      </c>
      <c r="D23" s="305">
        <v>2772</v>
      </c>
      <c r="E23" s="305">
        <v>6047</v>
      </c>
      <c r="F23" s="305">
        <v>5004</v>
      </c>
      <c r="G23" s="305">
        <v>2724</v>
      </c>
      <c r="H23" s="305">
        <v>1931</v>
      </c>
      <c r="I23" s="305">
        <v>5799</v>
      </c>
      <c r="J23" s="306">
        <v>2791</v>
      </c>
      <c r="K23" s="305">
        <v>1255</v>
      </c>
      <c r="L23" s="305">
        <v>45977</v>
      </c>
      <c r="M23" s="307">
        <v>-3.7513868800000001</v>
      </c>
    </row>
    <row r="24" spans="1:13" ht="16.5" customHeight="1" x14ac:dyDescent="0.2">
      <c r="A24" s="304" t="s">
        <v>29</v>
      </c>
      <c r="B24" s="305">
        <v>60241</v>
      </c>
      <c r="C24" s="305">
        <v>10612</v>
      </c>
      <c r="D24" s="305">
        <v>6246</v>
      </c>
      <c r="E24" s="305">
        <v>17279</v>
      </c>
      <c r="F24" s="305">
        <v>12963</v>
      </c>
      <c r="G24" s="305">
        <v>8488</v>
      </c>
      <c r="H24" s="305">
        <v>4623</v>
      </c>
      <c r="I24" s="305">
        <v>9907</v>
      </c>
      <c r="J24" s="306">
        <v>6476</v>
      </c>
      <c r="K24" s="305">
        <v>6170</v>
      </c>
      <c r="L24" s="305">
        <v>143005</v>
      </c>
      <c r="M24" s="307">
        <v>-2.9382220000000001</v>
      </c>
    </row>
    <row r="25" spans="1:13" ht="16.5" customHeight="1" x14ac:dyDescent="0.2">
      <c r="A25" s="304" t="s">
        <v>30</v>
      </c>
      <c r="B25" s="305">
        <v>39464</v>
      </c>
      <c r="C25" s="305">
        <v>4838</v>
      </c>
      <c r="D25" s="305">
        <v>3767</v>
      </c>
      <c r="E25" s="305">
        <v>15246</v>
      </c>
      <c r="F25" s="305">
        <v>5505</v>
      </c>
      <c r="G25" s="305">
        <v>5408</v>
      </c>
      <c r="H25" s="305">
        <v>2771</v>
      </c>
      <c r="I25" s="305">
        <v>1032</v>
      </c>
      <c r="J25" s="306">
        <v>4478</v>
      </c>
      <c r="K25" s="305">
        <v>4393</v>
      </c>
      <c r="L25" s="305">
        <v>86902</v>
      </c>
      <c r="M25" s="307">
        <v>-1.44036656</v>
      </c>
    </row>
    <row r="26" spans="1:13" ht="16.5" customHeight="1" x14ac:dyDescent="0.2">
      <c r="A26" s="304" t="s">
        <v>31</v>
      </c>
      <c r="B26" s="305">
        <v>63595</v>
      </c>
      <c r="C26" s="305">
        <v>12430</v>
      </c>
      <c r="D26" s="305">
        <v>5861</v>
      </c>
      <c r="E26" s="305">
        <v>15656</v>
      </c>
      <c r="F26" s="305">
        <v>10966</v>
      </c>
      <c r="G26" s="305">
        <v>7472</v>
      </c>
      <c r="H26" s="305">
        <v>4971</v>
      </c>
      <c r="I26" s="305">
        <v>10262</v>
      </c>
      <c r="J26" s="306">
        <v>5911</v>
      </c>
      <c r="K26" s="305">
        <v>7958</v>
      </c>
      <c r="L26" s="305">
        <v>145082</v>
      </c>
      <c r="M26" s="307">
        <v>-1.0192664600000001</v>
      </c>
    </row>
    <row r="27" spans="1:13" ht="16.5" customHeight="1" x14ac:dyDescent="0.2">
      <c r="A27" s="308" t="s">
        <v>32</v>
      </c>
      <c r="B27" s="309">
        <v>824960</v>
      </c>
      <c r="C27" s="309">
        <v>128720</v>
      </c>
      <c r="D27" s="309">
        <v>88425</v>
      </c>
      <c r="E27" s="309">
        <v>286224</v>
      </c>
      <c r="F27" s="309">
        <v>174348</v>
      </c>
      <c r="G27" s="309">
        <v>137296</v>
      </c>
      <c r="H27" s="309">
        <v>68900</v>
      </c>
      <c r="I27" s="309">
        <v>151269</v>
      </c>
      <c r="J27" s="309">
        <v>117092</v>
      </c>
      <c r="K27" s="309">
        <v>110201</v>
      </c>
      <c r="L27" s="309">
        <v>2087435</v>
      </c>
      <c r="M27" s="310">
        <v>-2.19424383</v>
      </c>
    </row>
    <row r="28" spans="1:13" ht="16.5" customHeight="1" x14ac:dyDescent="0.2">
      <c r="A28" s="304" t="s">
        <v>33</v>
      </c>
      <c r="B28" s="305">
        <v>130183</v>
      </c>
      <c r="C28" s="305">
        <v>9987</v>
      </c>
      <c r="D28" s="305">
        <v>2041</v>
      </c>
      <c r="E28" s="305">
        <v>78358</v>
      </c>
      <c r="F28" s="305">
        <v>14456</v>
      </c>
      <c r="G28" s="305">
        <v>15862</v>
      </c>
      <c r="H28" s="305">
        <v>16108</v>
      </c>
      <c r="I28" s="305">
        <v>53986</v>
      </c>
      <c r="J28" s="306">
        <v>11659</v>
      </c>
      <c r="K28" s="305">
        <v>59593</v>
      </c>
      <c r="L28" s="305">
        <v>392233</v>
      </c>
      <c r="M28" s="307">
        <v>8.956778E-2</v>
      </c>
    </row>
    <row r="29" spans="1:13" ht="16.5" customHeight="1" x14ac:dyDescent="0.2">
      <c r="A29" s="304" t="s">
        <v>34</v>
      </c>
      <c r="B29" s="305">
        <v>70752</v>
      </c>
      <c r="C29" s="305">
        <v>16771</v>
      </c>
      <c r="D29" s="305">
        <v>9066</v>
      </c>
      <c r="E29" s="305">
        <v>20127</v>
      </c>
      <c r="F29" s="305">
        <v>13994</v>
      </c>
      <c r="G29" s="305">
        <v>7078</v>
      </c>
      <c r="H29" s="305">
        <v>4952</v>
      </c>
      <c r="I29" s="305">
        <v>1427</v>
      </c>
      <c r="J29" s="306">
        <v>10116</v>
      </c>
      <c r="K29" s="305">
        <v>10323</v>
      </c>
      <c r="L29" s="305">
        <v>164606</v>
      </c>
      <c r="M29" s="307">
        <v>-1.4995930900000001</v>
      </c>
    </row>
    <row r="30" spans="1:13" ht="16.5" customHeight="1" x14ac:dyDescent="0.2">
      <c r="A30" s="304" t="s">
        <v>35</v>
      </c>
      <c r="B30" s="305">
        <v>85199</v>
      </c>
      <c r="C30" s="305">
        <v>21941</v>
      </c>
      <c r="D30" s="305">
        <v>6500</v>
      </c>
      <c r="E30" s="305">
        <v>20369</v>
      </c>
      <c r="F30" s="305">
        <v>14551</v>
      </c>
      <c r="G30" s="305">
        <v>15095</v>
      </c>
      <c r="H30" s="305">
        <v>10583</v>
      </c>
      <c r="I30" s="305">
        <v>37735</v>
      </c>
      <c r="J30" s="306">
        <v>10142</v>
      </c>
      <c r="K30" s="305">
        <v>14866</v>
      </c>
      <c r="L30" s="305">
        <v>236981</v>
      </c>
      <c r="M30" s="307">
        <v>2.9282615000000001</v>
      </c>
    </row>
    <row r="31" spans="1:13" ht="16.5" customHeight="1" x14ac:dyDescent="0.2">
      <c r="A31" s="308" t="s">
        <v>36</v>
      </c>
      <c r="B31" s="309">
        <v>286134</v>
      </c>
      <c r="C31" s="309">
        <v>48699</v>
      </c>
      <c r="D31" s="309">
        <v>17607</v>
      </c>
      <c r="E31" s="309">
        <v>118854</v>
      </c>
      <c r="F31" s="309">
        <v>43001</v>
      </c>
      <c r="G31" s="309">
        <v>38035</v>
      </c>
      <c r="H31" s="309">
        <v>31643</v>
      </c>
      <c r="I31" s="309">
        <v>93148</v>
      </c>
      <c r="J31" s="309">
        <v>31917</v>
      </c>
      <c r="K31" s="309">
        <v>84782</v>
      </c>
      <c r="L31" s="309">
        <v>793820</v>
      </c>
      <c r="M31" s="310">
        <v>0.58119719000000003</v>
      </c>
    </row>
    <row r="32" spans="1:13" ht="16.5" customHeight="1" x14ac:dyDescent="0.2">
      <c r="A32" s="308" t="s">
        <v>37</v>
      </c>
      <c r="B32" s="309">
        <v>1111094</v>
      </c>
      <c r="C32" s="309">
        <v>177419</v>
      </c>
      <c r="D32" s="309">
        <v>106032</v>
      </c>
      <c r="E32" s="309">
        <v>405078</v>
      </c>
      <c r="F32" s="309">
        <v>217349</v>
      </c>
      <c r="G32" s="309">
        <v>175331</v>
      </c>
      <c r="H32" s="309">
        <v>100543</v>
      </c>
      <c r="I32" s="309">
        <v>244417</v>
      </c>
      <c r="J32" s="309">
        <v>149009</v>
      </c>
      <c r="K32" s="309">
        <v>194983</v>
      </c>
      <c r="L32" s="309">
        <v>2881255</v>
      </c>
      <c r="M32" s="310">
        <v>-1.44498083</v>
      </c>
    </row>
    <row r="33" spans="1:13" ht="16.5" customHeight="1" x14ac:dyDescent="0.2">
      <c r="A33" s="304" t="s">
        <v>38</v>
      </c>
      <c r="B33" s="305">
        <v>4154</v>
      </c>
      <c r="C33" s="305">
        <v>55</v>
      </c>
      <c r="D33" s="305">
        <v>245</v>
      </c>
      <c r="E33" s="305">
        <v>1894</v>
      </c>
      <c r="F33" s="305">
        <v>2272</v>
      </c>
      <c r="G33" s="305">
        <v>1128</v>
      </c>
      <c r="H33" s="305">
        <v>424</v>
      </c>
      <c r="I33" s="305">
        <v>0</v>
      </c>
      <c r="J33" s="306">
        <v>632</v>
      </c>
      <c r="K33" s="305">
        <v>129</v>
      </c>
      <c r="L33" s="305">
        <v>10933</v>
      </c>
      <c r="M33" s="307">
        <v>-4.4652219500000001</v>
      </c>
    </row>
    <row r="34" spans="1:13" ht="16.5" customHeight="1" x14ac:dyDescent="0.2">
      <c r="A34" s="304" t="s">
        <v>39</v>
      </c>
      <c r="B34" s="305">
        <v>2710</v>
      </c>
      <c r="C34" s="305">
        <v>0</v>
      </c>
      <c r="D34" s="305">
        <v>165</v>
      </c>
      <c r="E34" s="305">
        <v>524</v>
      </c>
      <c r="F34" s="305">
        <v>852</v>
      </c>
      <c r="G34" s="305">
        <v>317</v>
      </c>
      <c r="H34" s="305">
        <v>75</v>
      </c>
      <c r="I34" s="305">
        <v>61</v>
      </c>
      <c r="J34" s="306">
        <v>449</v>
      </c>
      <c r="K34" s="305">
        <v>48</v>
      </c>
      <c r="L34" s="305">
        <v>5201</v>
      </c>
      <c r="M34" s="307">
        <v>-8.8183730699999998</v>
      </c>
    </row>
    <row r="35" spans="1:13" ht="16.5" customHeight="1" x14ac:dyDescent="0.2">
      <c r="A35" s="304" t="s">
        <v>68</v>
      </c>
      <c r="B35" s="305">
        <v>12885</v>
      </c>
      <c r="C35" s="305">
        <v>149</v>
      </c>
      <c r="D35" s="305">
        <v>677</v>
      </c>
      <c r="E35" s="305">
        <v>3617</v>
      </c>
      <c r="F35" s="305">
        <v>3992</v>
      </c>
      <c r="G35" s="305">
        <v>1239</v>
      </c>
      <c r="H35" s="305">
        <v>847</v>
      </c>
      <c r="I35" s="305">
        <v>222</v>
      </c>
      <c r="J35" s="306">
        <v>1460</v>
      </c>
      <c r="K35" s="305">
        <v>621</v>
      </c>
      <c r="L35" s="305">
        <v>25709</v>
      </c>
      <c r="M35" s="307">
        <v>-1.24836752</v>
      </c>
    </row>
    <row r="36" spans="1:13" ht="16.5" customHeight="1" x14ac:dyDescent="0.2">
      <c r="A36" s="304" t="s">
        <v>40</v>
      </c>
      <c r="B36" s="305">
        <v>3783</v>
      </c>
      <c r="C36" s="305">
        <v>0</v>
      </c>
      <c r="D36" s="305">
        <v>137</v>
      </c>
      <c r="E36" s="305">
        <v>1013</v>
      </c>
      <c r="F36" s="305">
        <v>2169</v>
      </c>
      <c r="G36" s="305">
        <v>738</v>
      </c>
      <c r="H36" s="305">
        <v>316</v>
      </c>
      <c r="I36" s="305">
        <v>165</v>
      </c>
      <c r="J36" s="306">
        <v>617</v>
      </c>
      <c r="K36" s="305">
        <v>287</v>
      </c>
      <c r="L36" s="305">
        <v>9225</v>
      </c>
      <c r="M36" s="307">
        <v>-5.0144151600000004</v>
      </c>
    </row>
    <row r="37" spans="1:13" ht="16.5" customHeight="1" x14ac:dyDescent="0.2">
      <c r="A37" s="304" t="s">
        <v>41</v>
      </c>
      <c r="B37" s="305">
        <v>1215</v>
      </c>
      <c r="C37" s="305">
        <v>0</v>
      </c>
      <c r="D37" s="305">
        <v>0</v>
      </c>
      <c r="E37" s="305">
        <v>144</v>
      </c>
      <c r="F37" s="305">
        <v>1135</v>
      </c>
      <c r="G37" s="305">
        <v>161</v>
      </c>
      <c r="H37" s="305">
        <v>91</v>
      </c>
      <c r="I37" s="305">
        <v>0</v>
      </c>
      <c r="J37" s="306">
        <v>201</v>
      </c>
      <c r="K37" s="305">
        <v>27</v>
      </c>
      <c r="L37" s="305">
        <v>2974</v>
      </c>
      <c r="M37" s="307">
        <v>7.36462094</v>
      </c>
    </row>
    <row r="38" spans="1:13" ht="16.5" customHeight="1" x14ac:dyDescent="0.2">
      <c r="A38" s="308" t="s">
        <v>209</v>
      </c>
      <c r="B38" s="309">
        <v>24747</v>
      </c>
      <c r="C38" s="309">
        <v>204</v>
      </c>
      <c r="D38" s="309">
        <v>1224</v>
      </c>
      <c r="E38" s="309">
        <v>7192</v>
      </c>
      <c r="F38" s="309">
        <v>10420</v>
      </c>
      <c r="G38" s="309">
        <v>3583</v>
      </c>
      <c r="H38" s="309">
        <v>1753</v>
      </c>
      <c r="I38" s="309">
        <v>448</v>
      </c>
      <c r="J38" s="309">
        <v>3359</v>
      </c>
      <c r="K38" s="309">
        <v>1112</v>
      </c>
      <c r="L38" s="309">
        <v>54042</v>
      </c>
      <c r="M38" s="310">
        <v>-2.91391204</v>
      </c>
    </row>
    <row r="39" spans="1:13" ht="16.5" customHeight="1" x14ac:dyDescent="0.2">
      <c r="A39" s="308" t="s">
        <v>210</v>
      </c>
      <c r="B39" s="309">
        <v>1135841</v>
      </c>
      <c r="C39" s="309">
        <v>177623</v>
      </c>
      <c r="D39" s="309">
        <v>107256</v>
      </c>
      <c r="E39" s="309">
        <v>412270</v>
      </c>
      <c r="F39" s="309">
        <v>227769</v>
      </c>
      <c r="G39" s="309">
        <v>178914</v>
      </c>
      <c r="H39" s="309">
        <v>102296</v>
      </c>
      <c r="I39" s="309">
        <v>244865</v>
      </c>
      <c r="J39" s="309">
        <v>152368</v>
      </c>
      <c r="K39" s="309">
        <v>196095</v>
      </c>
      <c r="L39" s="309">
        <v>2935297</v>
      </c>
      <c r="M39" s="310">
        <v>-1.47242699</v>
      </c>
    </row>
    <row r="40" spans="1:13" x14ac:dyDescent="0.2">
      <c r="A40" s="311" t="s">
        <v>308</v>
      </c>
      <c r="B40" s="312"/>
      <c r="C40" s="312"/>
      <c r="D40" s="312"/>
      <c r="E40" s="312"/>
      <c r="F40" s="312"/>
      <c r="G40" s="312"/>
      <c r="H40" s="312"/>
      <c r="I40" s="312"/>
      <c r="J40" s="312"/>
      <c r="K40" s="312"/>
      <c r="L40" s="312"/>
      <c r="M40" s="313"/>
    </row>
    <row r="41" spans="1:13" x14ac:dyDescent="0.2">
      <c r="A41" s="314" t="s">
        <v>117</v>
      </c>
      <c r="B41" s="312"/>
      <c r="C41" s="312"/>
      <c r="D41" s="312"/>
      <c r="E41" s="312"/>
      <c r="F41" s="312"/>
      <c r="G41" s="312"/>
      <c r="H41" s="312"/>
      <c r="I41" s="312"/>
      <c r="J41" s="312"/>
      <c r="K41" s="312"/>
      <c r="L41" s="312"/>
      <c r="M41" s="313"/>
    </row>
    <row r="42" spans="1:13" x14ac:dyDescent="0.2">
      <c r="A42" s="312" t="s">
        <v>59</v>
      </c>
      <c r="B42" s="315"/>
      <c r="C42" s="315"/>
      <c r="D42" s="315"/>
      <c r="E42" s="315"/>
      <c r="F42" s="315"/>
      <c r="G42" s="315"/>
      <c r="H42" s="315"/>
      <c r="I42" s="315"/>
      <c r="J42" s="315"/>
      <c r="K42" s="315"/>
      <c r="L42" s="315"/>
      <c r="M42" s="313"/>
    </row>
    <row r="43" spans="1:13" ht="21" customHeight="1" x14ac:dyDescent="0.2">
      <c r="A43" s="415" t="s">
        <v>324</v>
      </c>
      <c r="B43" s="415"/>
      <c r="C43" s="415"/>
      <c r="D43" s="415"/>
      <c r="E43" s="415"/>
      <c r="F43" s="415"/>
      <c r="G43" s="415"/>
      <c r="H43" s="415"/>
      <c r="I43" s="415"/>
      <c r="J43" s="415"/>
      <c r="K43" s="415"/>
      <c r="L43" s="415"/>
      <c r="M43" s="415"/>
    </row>
    <row r="44" spans="1:13" ht="28.5" customHeight="1" x14ac:dyDescent="0.2">
      <c r="A44" s="415" t="s">
        <v>284</v>
      </c>
      <c r="B44" s="415"/>
      <c r="C44" s="415"/>
      <c r="D44" s="415"/>
      <c r="E44" s="415"/>
      <c r="F44" s="415"/>
      <c r="G44" s="415"/>
      <c r="H44" s="415"/>
      <c r="I44" s="415"/>
      <c r="J44" s="415"/>
      <c r="K44" s="415"/>
      <c r="L44" s="415"/>
      <c r="M44" s="415"/>
    </row>
    <row r="45" spans="1:13" x14ac:dyDescent="0.2">
      <c r="A45" s="415"/>
      <c r="B45" s="415"/>
      <c r="C45" s="415"/>
      <c r="D45" s="415"/>
      <c r="E45" s="415"/>
      <c r="F45" s="415"/>
      <c r="G45" s="415"/>
      <c r="H45" s="415"/>
      <c r="I45" s="415"/>
      <c r="J45" s="415"/>
      <c r="K45" s="415"/>
      <c r="L45" s="415"/>
      <c r="M45" s="415"/>
    </row>
    <row r="46" spans="1:13" ht="12.75" customHeight="1" x14ac:dyDescent="0.2">
      <c r="A46" s="415"/>
      <c r="B46" s="415"/>
      <c r="C46" s="415"/>
      <c r="D46" s="415"/>
      <c r="E46" s="415"/>
      <c r="F46" s="415"/>
      <c r="G46" s="415"/>
      <c r="H46" s="415"/>
      <c r="I46" s="415"/>
      <c r="J46" s="415"/>
      <c r="K46" s="415"/>
      <c r="L46" s="415"/>
      <c r="M46" s="415"/>
    </row>
    <row r="47" spans="1:13" x14ac:dyDescent="0.2">
      <c r="A47" s="415"/>
      <c r="B47" s="415"/>
      <c r="C47" s="415"/>
      <c r="D47" s="415"/>
      <c r="E47" s="415"/>
      <c r="F47" s="415"/>
      <c r="G47" s="415"/>
      <c r="H47" s="415"/>
      <c r="I47" s="415"/>
      <c r="J47" s="415"/>
      <c r="K47" s="415"/>
      <c r="L47" s="415"/>
      <c r="M47" s="415"/>
    </row>
    <row r="48" spans="1:13" x14ac:dyDescent="0.2">
      <c r="A48" s="276"/>
      <c r="B48" s="163"/>
      <c r="C48" s="163"/>
      <c r="D48" s="163"/>
      <c r="E48" s="163"/>
      <c r="F48" s="163"/>
      <c r="G48" s="163"/>
      <c r="H48" s="163"/>
      <c r="I48" s="163"/>
      <c r="J48" s="163"/>
      <c r="K48" s="163"/>
      <c r="L48" s="163"/>
    </row>
    <row r="49" spans="1:12" x14ac:dyDescent="0.2">
      <c r="A49" s="276"/>
      <c r="B49" s="163"/>
      <c r="C49" s="163"/>
      <c r="D49" s="163"/>
      <c r="E49" s="163"/>
      <c r="F49" s="163"/>
      <c r="G49" s="163"/>
      <c r="H49" s="163"/>
      <c r="I49" s="163"/>
      <c r="J49" s="163"/>
      <c r="K49" s="163"/>
      <c r="L49" s="163"/>
    </row>
    <row r="50" spans="1:12" x14ac:dyDescent="0.2">
      <c r="A50" s="276"/>
      <c r="B50" s="163"/>
      <c r="C50" s="163"/>
      <c r="D50" s="163"/>
      <c r="E50" s="163"/>
      <c r="F50" s="163"/>
      <c r="G50" s="163"/>
      <c r="H50" s="163"/>
      <c r="I50" s="163"/>
      <c r="J50" s="163"/>
      <c r="K50" s="163"/>
      <c r="L50" s="163"/>
    </row>
    <row r="51" spans="1:12" x14ac:dyDescent="0.2">
      <c r="A51" s="276"/>
      <c r="B51" s="163"/>
      <c r="C51" s="163"/>
      <c r="D51" s="163"/>
      <c r="E51" s="163"/>
      <c r="F51" s="163"/>
      <c r="G51" s="163"/>
      <c r="H51" s="163"/>
      <c r="I51" s="163"/>
      <c r="J51" s="163"/>
      <c r="K51" s="163"/>
      <c r="L51" s="163"/>
    </row>
    <row r="52" spans="1:12" x14ac:dyDescent="0.2">
      <c r="A52" s="276"/>
      <c r="B52" s="163"/>
      <c r="C52" s="163"/>
      <c r="D52" s="163"/>
      <c r="E52" s="163"/>
      <c r="F52" s="163"/>
      <c r="G52" s="163"/>
      <c r="H52" s="163"/>
      <c r="I52" s="163"/>
      <c r="J52" s="163"/>
      <c r="K52" s="163"/>
      <c r="L52" s="163"/>
    </row>
    <row r="53" spans="1:12" x14ac:dyDescent="0.2">
      <c r="A53" s="276"/>
      <c r="B53" s="163"/>
      <c r="C53" s="163"/>
      <c r="D53" s="163"/>
      <c r="E53" s="163"/>
      <c r="F53" s="163"/>
      <c r="G53" s="163"/>
      <c r="H53" s="163"/>
      <c r="I53" s="163"/>
      <c r="J53" s="163"/>
      <c r="K53" s="163"/>
      <c r="L53" s="163"/>
    </row>
    <row r="54" spans="1:12" x14ac:dyDescent="0.2">
      <c r="A54" s="276"/>
      <c r="B54" s="163"/>
      <c r="C54" s="163"/>
      <c r="D54" s="163"/>
      <c r="E54" s="163"/>
      <c r="F54" s="163"/>
      <c r="G54" s="163"/>
      <c r="H54" s="163"/>
      <c r="I54" s="163"/>
      <c r="J54" s="163"/>
      <c r="K54" s="163"/>
      <c r="L54" s="163"/>
    </row>
    <row r="55" spans="1:12" x14ac:dyDescent="0.2">
      <c r="A55" s="276"/>
      <c r="B55" s="163"/>
      <c r="C55" s="163"/>
      <c r="D55" s="163"/>
      <c r="E55" s="163"/>
      <c r="F55" s="163"/>
      <c r="G55" s="163"/>
      <c r="H55" s="163"/>
      <c r="I55" s="163"/>
      <c r="J55" s="163"/>
      <c r="K55" s="163"/>
      <c r="L55" s="163"/>
    </row>
    <row r="56" spans="1:12" x14ac:dyDescent="0.2">
      <c r="A56" s="276"/>
      <c r="B56" s="163"/>
      <c r="C56" s="163"/>
      <c r="D56" s="163"/>
      <c r="E56" s="163"/>
      <c r="F56" s="163"/>
      <c r="G56" s="163"/>
      <c r="H56" s="163"/>
      <c r="I56" s="163"/>
      <c r="J56" s="163"/>
      <c r="K56" s="163"/>
      <c r="L56" s="163"/>
    </row>
    <row r="57" spans="1:12" x14ac:dyDescent="0.2">
      <c r="A57" s="276"/>
      <c r="B57" s="163"/>
      <c r="C57" s="163"/>
      <c r="D57" s="163"/>
      <c r="E57" s="163"/>
      <c r="F57" s="163"/>
      <c r="G57" s="163"/>
      <c r="H57" s="163"/>
      <c r="I57" s="163"/>
      <c r="J57" s="163"/>
      <c r="K57" s="163"/>
      <c r="L57" s="163"/>
    </row>
    <row r="58" spans="1:12" x14ac:dyDescent="0.2">
      <c r="A58" s="276"/>
      <c r="B58" s="163"/>
      <c r="C58" s="163"/>
      <c r="D58" s="163"/>
      <c r="E58" s="163"/>
      <c r="F58" s="163"/>
      <c r="G58" s="163"/>
      <c r="H58" s="163"/>
      <c r="I58" s="163"/>
      <c r="J58" s="163"/>
      <c r="K58" s="163"/>
      <c r="L58" s="163"/>
    </row>
    <row r="59" spans="1:12" x14ac:dyDescent="0.2">
      <c r="A59" s="276"/>
      <c r="B59" s="163"/>
      <c r="C59" s="163"/>
      <c r="D59" s="163"/>
      <c r="E59" s="163"/>
      <c r="F59" s="163"/>
      <c r="G59" s="163"/>
      <c r="H59" s="163"/>
      <c r="I59" s="163"/>
      <c r="J59" s="163"/>
      <c r="K59" s="163"/>
      <c r="L59" s="163"/>
    </row>
    <row r="60" spans="1:12" x14ac:dyDescent="0.2">
      <c r="A60" s="276"/>
      <c r="B60" s="163"/>
      <c r="C60" s="163"/>
      <c r="D60" s="163"/>
      <c r="E60" s="163"/>
      <c r="F60" s="163"/>
      <c r="G60" s="163"/>
      <c r="H60" s="163"/>
      <c r="I60" s="163"/>
      <c r="J60" s="163"/>
      <c r="K60" s="163"/>
      <c r="L60" s="163"/>
    </row>
    <row r="61" spans="1:12" x14ac:dyDescent="0.2">
      <c r="A61" s="276"/>
      <c r="B61" s="163"/>
      <c r="C61" s="163"/>
      <c r="D61" s="163"/>
      <c r="E61" s="163"/>
      <c r="F61" s="163"/>
      <c r="G61" s="163"/>
      <c r="H61" s="163"/>
      <c r="I61" s="163"/>
      <c r="J61" s="163"/>
      <c r="K61" s="163"/>
      <c r="L61" s="163"/>
    </row>
    <row r="62" spans="1:12" x14ac:dyDescent="0.2">
      <c r="A62" s="276"/>
      <c r="B62" s="163"/>
      <c r="C62" s="163"/>
      <c r="D62" s="163"/>
      <c r="E62" s="163"/>
      <c r="F62" s="163"/>
      <c r="G62" s="163"/>
      <c r="H62" s="163"/>
      <c r="I62" s="163"/>
      <c r="J62" s="163"/>
      <c r="K62" s="163"/>
      <c r="L62" s="163"/>
    </row>
    <row r="63" spans="1:12" x14ac:dyDescent="0.2">
      <c r="A63" s="276"/>
      <c r="B63" s="163"/>
      <c r="C63" s="163"/>
      <c r="D63" s="163"/>
      <c r="E63" s="163"/>
      <c r="F63" s="163"/>
      <c r="G63" s="163"/>
      <c r="H63" s="163"/>
      <c r="I63" s="163"/>
      <c r="J63" s="163"/>
      <c r="K63" s="163"/>
      <c r="L63" s="163"/>
    </row>
    <row r="64" spans="1:12" x14ac:dyDescent="0.2">
      <c r="A64" s="276"/>
      <c r="B64" s="163"/>
      <c r="C64" s="163"/>
      <c r="D64" s="163"/>
      <c r="E64" s="163"/>
      <c r="F64" s="163"/>
      <c r="G64" s="163"/>
      <c r="H64" s="163"/>
      <c r="I64" s="163"/>
      <c r="J64" s="163"/>
      <c r="K64" s="163"/>
      <c r="L64" s="163"/>
    </row>
    <row r="65" spans="1:12" x14ac:dyDescent="0.2">
      <c r="A65" s="276"/>
      <c r="B65" s="163"/>
      <c r="C65" s="163"/>
      <c r="D65" s="163"/>
      <c r="E65" s="163"/>
      <c r="F65" s="163"/>
      <c r="G65" s="163"/>
      <c r="H65" s="163"/>
      <c r="I65" s="163"/>
      <c r="J65" s="163"/>
      <c r="K65" s="163"/>
      <c r="L65" s="163"/>
    </row>
    <row r="66" spans="1:12" x14ac:dyDescent="0.2">
      <c r="A66" s="276"/>
      <c r="B66" s="163"/>
      <c r="C66" s="163"/>
      <c r="D66" s="163"/>
      <c r="E66" s="163"/>
      <c r="F66" s="163"/>
      <c r="G66" s="163"/>
      <c r="H66" s="163"/>
      <c r="I66" s="163"/>
      <c r="J66" s="163"/>
      <c r="K66" s="163"/>
      <c r="L66" s="163"/>
    </row>
    <row r="67" spans="1:12" x14ac:dyDescent="0.2">
      <c r="A67" s="276"/>
      <c r="B67" s="163"/>
      <c r="C67" s="163"/>
      <c r="D67" s="163"/>
      <c r="E67" s="163"/>
      <c r="F67" s="163"/>
      <c r="G67" s="163"/>
      <c r="H67" s="163"/>
      <c r="I67" s="163"/>
      <c r="J67" s="163"/>
      <c r="K67" s="163"/>
      <c r="L67" s="163"/>
    </row>
    <row r="68" spans="1:12" x14ac:dyDescent="0.2">
      <c r="A68" s="276"/>
      <c r="B68" s="163"/>
      <c r="C68" s="163"/>
      <c r="D68" s="163"/>
      <c r="E68" s="163"/>
      <c r="F68" s="163"/>
      <c r="G68" s="163"/>
      <c r="H68" s="163"/>
      <c r="I68" s="163"/>
      <c r="J68" s="163"/>
      <c r="K68" s="163"/>
      <c r="L68" s="163"/>
    </row>
    <row r="69" spans="1:12" x14ac:dyDescent="0.2">
      <c r="A69" s="276"/>
      <c r="B69" s="163"/>
      <c r="C69" s="163"/>
      <c r="D69" s="163"/>
      <c r="E69" s="163"/>
      <c r="F69" s="163"/>
      <c r="G69" s="163"/>
      <c r="H69" s="163"/>
      <c r="I69" s="163"/>
      <c r="J69" s="163"/>
      <c r="K69" s="163"/>
      <c r="L69" s="163"/>
    </row>
    <row r="70" spans="1:12" x14ac:dyDescent="0.2">
      <c r="A70" s="276"/>
      <c r="B70" s="163"/>
      <c r="C70" s="163"/>
      <c r="D70" s="163"/>
      <c r="E70" s="163"/>
      <c r="F70" s="163"/>
      <c r="G70" s="163"/>
      <c r="H70" s="163"/>
      <c r="I70" s="163"/>
      <c r="J70" s="163"/>
      <c r="K70" s="163"/>
      <c r="L70" s="163"/>
    </row>
    <row r="71" spans="1:12" x14ac:dyDescent="0.2">
      <c r="A71" s="276"/>
      <c r="B71" s="163"/>
      <c r="C71" s="163"/>
      <c r="D71" s="163"/>
      <c r="E71" s="163"/>
      <c r="F71" s="163"/>
      <c r="G71" s="163"/>
      <c r="H71" s="163"/>
      <c r="I71" s="163"/>
      <c r="J71" s="163"/>
      <c r="K71" s="163"/>
      <c r="L71" s="163"/>
    </row>
    <row r="72" spans="1:12" x14ac:dyDescent="0.2">
      <c r="A72" s="276"/>
      <c r="B72" s="163"/>
      <c r="C72" s="163"/>
      <c r="D72" s="163"/>
      <c r="E72" s="163"/>
      <c r="F72" s="163"/>
      <c r="G72" s="163"/>
      <c r="H72" s="163"/>
      <c r="I72" s="163"/>
      <c r="J72" s="163"/>
      <c r="K72" s="163"/>
      <c r="L72" s="163"/>
    </row>
    <row r="73" spans="1:12" x14ac:dyDescent="0.2">
      <c r="A73" s="276"/>
      <c r="B73" s="163"/>
      <c r="C73" s="163"/>
      <c r="D73" s="163"/>
      <c r="E73" s="163"/>
      <c r="F73" s="163"/>
      <c r="G73" s="163"/>
      <c r="H73" s="163"/>
      <c r="I73" s="163"/>
      <c r="J73" s="163"/>
      <c r="K73" s="163"/>
      <c r="L73" s="163"/>
    </row>
    <row r="74" spans="1:12" x14ac:dyDescent="0.2">
      <c r="A74" s="276"/>
      <c r="B74" s="163"/>
      <c r="C74" s="163"/>
      <c r="D74" s="163"/>
      <c r="E74" s="163"/>
      <c r="F74" s="163"/>
      <c r="G74" s="163"/>
      <c r="H74" s="163"/>
      <c r="I74" s="163"/>
      <c r="J74" s="163"/>
      <c r="K74" s="163"/>
      <c r="L74" s="163"/>
    </row>
    <row r="75" spans="1:12" x14ac:dyDescent="0.2">
      <c r="A75" s="276"/>
      <c r="B75" s="163"/>
      <c r="C75" s="163"/>
      <c r="D75" s="163"/>
      <c r="E75" s="163"/>
      <c r="F75" s="163"/>
      <c r="G75" s="163"/>
      <c r="H75" s="163"/>
      <c r="I75" s="163"/>
      <c r="J75" s="163"/>
      <c r="K75" s="163"/>
      <c r="L75" s="163"/>
    </row>
    <row r="76" spans="1:12" x14ac:dyDescent="0.2">
      <c r="A76" s="276"/>
      <c r="B76" s="163"/>
      <c r="C76" s="163"/>
      <c r="D76" s="163"/>
      <c r="E76" s="163"/>
      <c r="F76" s="163"/>
      <c r="G76" s="163"/>
      <c r="H76" s="163"/>
      <c r="I76" s="163"/>
      <c r="J76" s="163"/>
      <c r="K76" s="163"/>
      <c r="L76" s="163"/>
    </row>
    <row r="77" spans="1:12" x14ac:dyDescent="0.2">
      <c r="A77" s="276"/>
      <c r="B77" s="163"/>
      <c r="C77" s="163"/>
      <c r="D77" s="163"/>
      <c r="E77" s="163"/>
      <c r="F77" s="163"/>
      <c r="G77" s="163"/>
      <c r="H77" s="163"/>
      <c r="I77" s="163"/>
      <c r="J77" s="163"/>
      <c r="K77" s="163"/>
      <c r="L77" s="163"/>
    </row>
    <row r="78" spans="1:12" x14ac:dyDescent="0.2">
      <c r="A78" s="276"/>
      <c r="B78" s="163"/>
      <c r="C78" s="163"/>
      <c r="D78" s="163"/>
      <c r="E78" s="163"/>
      <c r="F78" s="163"/>
      <c r="G78" s="163"/>
      <c r="H78" s="163"/>
      <c r="I78" s="163"/>
      <c r="J78" s="163"/>
      <c r="K78" s="163"/>
      <c r="L78" s="163"/>
    </row>
  </sheetData>
  <mergeCells count="5">
    <mergeCell ref="A43:M43"/>
    <mergeCell ref="A44:M44"/>
    <mergeCell ref="A45:M45"/>
    <mergeCell ref="A46:M46"/>
    <mergeCell ref="A47:M47"/>
  </mergeCells>
  <hyperlinks>
    <hyperlink ref="A3" location="Sommaire!A2" display="Retour au sommaire"/>
  </hyperlinks>
  <pageMargins left="0.78740157499999996" right="0.78740157499999996" top="0.984251969" bottom="0.984251969" header="0.4921259845" footer="0.4921259845"/>
  <pageSetup paperSize="9" scale="7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8"/>
  <sheetViews>
    <sheetView showGridLines="0" topLeftCell="F1" zoomScaleNormal="100" workbookViewId="0">
      <selection activeCell="M4" sqref="M4"/>
    </sheetView>
  </sheetViews>
  <sheetFormatPr baseColWidth="10" defaultRowHeight="12.75" x14ac:dyDescent="0.2"/>
  <cols>
    <col min="9" max="9" width="13.42578125" customWidth="1"/>
    <col min="12" max="12" width="10.28515625" customWidth="1"/>
    <col min="13" max="13" width="25.42578125" customWidth="1"/>
    <col min="18" max="18" width="12.7109375" customWidth="1"/>
  </cols>
  <sheetData>
    <row r="1" spans="1:18" x14ac:dyDescent="0.2">
      <c r="A1" s="364" t="s">
        <v>282</v>
      </c>
    </row>
    <row r="2" spans="1:18" ht="12.75" customHeight="1" x14ac:dyDescent="0.2"/>
    <row r="3" spans="1:18" ht="12.75" customHeight="1" x14ac:dyDescent="0.2"/>
    <row r="4" spans="1:18" ht="12.75" customHeight="1" x14ac:dyDescent="0.2"/>
    <row r="5" spans="1:18" ht="13.5" customHeight="1" thickBot="1" x14ac:dyDescent="0.25"/>
    <row r="6" spans="1:18" ht="68.25" customHeight="1" x14ac:dyDescent="0.2">
      <c r="M6" s="48" t="s">
        <v>122</v>
      </c>
      <c r="N6" s="48" t="s">
        <v>123</v>
      </c>
      <c r="O6" s="48" t="s">
        <v>215</v>
      </c>
      <c r="P6" s="48" t="s">
        <v>124</v>
      </c>
      <c r="Q6" s="48" t="s">
        <v>309</v>
      </c>
      <c r="R6" s="277" t="s">
        <v>217</v>
      </c>
    </row>
    <row r="7" spans="1:18" x14ac:dyDescent="0.2">
      <c r="M7" s="161" t="s">
        <v>177</v>
      </c>
      <c r="N7" s="49" t="s">
        <v>125</v>
      </c>
      <c r="O7" s="46">
        <v>15.715627</v>
      </c>
      <c r="P7" s="46">
        <v>21.331399000000001</v>
      </c>
      <c r="Q7" s="46">
        <v>-3.10923675</v>
      </c>
      <c r="R7" s="46">
        <v>10.229702788322111</v>
      </c>
    </row>
    <row r="8" spans="1:18" x14ac:dyDescent="0.2">
      <c r="M8" s="161">
        <v>20</v>
      </c>
      <c r="N8" s="49" t="s">
        <v>126</v>
      </c>
      <c r="O8" s="46">
        <v>19.051708999999999</v>
      </c>
      <c r="P8" s="46">
        <v>18.074404999999999</v>
      </c>
      <c r="Q8" s="46">
        <v>-3.6949208599999999</v>
      </c>
      <c r="R8" s="46">
        <v>7.4620153550863728</v>
      </c>
    </row>
    <row r="9" spans="1:18" ht="23.25" customHeight="1" x14ac:dyDescent="0.2">
      <c r="A9" s="51"/>
      <c r="B9" s="53"/>
      <c r="C9" s="53"/>
      <c r="D9" s="53"/>
      <c r="E9" s="53"/>
      <c r="F9" s="51"/>
      <c r="G9" s="53"/>
      <c r="H9" s="53"/>
      <c r="I9" s="53"/>
      <c r="J9" s="53"/>
      <c r="M9" s="161" t="s">
        <v>178</v>
      </c>
      <c r="N9" s="49" t="s">
        <v>127</v>
      </c>
      <c r="O9" s="46">
        <v>18.432728000000001</v>
      </c>
      <c r="P9" s="46">
        <v>10.430332999999999</v>
      </c>
      <c r="Q9" s="46">
        <v>-2.9609086100000002</v>
      </c>
      <c r="R9" s="46">
        <v>9.1835714709723373</v>
      </c>
    </row>
    <row r="10" spans="1:18" x14ac:dyDescent="0.2">
      <c r="A10" s="50"/>
      <c r="B10" s="53"/>
      <c r="C10" s="53"/>
      <c r="D10" s="53"/>
      <c r="E10" s="53"/>
      <c r="F10" s="50"/>
      <c r="G10" s="53"/>
      <c r="H10" s="53"/>
      <c r="I10" s="53"/>
      <c r="J10" s="53"/>
      <c r="M10" s="161" t="s">
        <v>179</v>
      </c>
      <c r="N10" s="49" t="s">
        <v>128</v>
      </c>
      <c r="O10" s="46">
        <v>13.990468</v>
      </c>
      <c r="P10" s="46">
        <v>29.301483000000001</v>
      </c>
      <c r="Q10" s="46">
        <v>-2.0828054200000001</v>
      </c>
      <c r="R10" s="46">
        <v>9.6388963922436321</v>
      </c>
    </row>
    <row r="11" spans="1:18" x14ac:dyDescent="0.2">
      <c r="M11" s="161" t="s">
        <v>180</v>
      </c>
      <c r="N11" s="49" t="s">
        <v>15</v>
      </c>
      <c r="O11" s="45">
        <v>15.204826000000001</v>
      </c>
      <c r="P11" s="45">
        <v>13.742338</v>
      </c>
      <c r="Q11" s="46">
        <v>-3.2103030100000001</v>
      </c>
      <c r="R11" s="46">
        <v>10.159229741671634</v>
      </c>
    </row>
    <row r="12" spans="1:18" x14ac:dyDescent="0.2">
      <c r="A12" s="53"/>
      <c r="B12" s="53"/>
      <c r="C12" s="53"/>
      <c r="D12" s="53"/>
      <c r="E12" s="53"/>
      <c r="F12" s="53"/>
      <c r="G12" s="53"/>
      <c r="H12" s="53"/>
      <c r="I12" s="53"/>
      <c r="J12" s="53"/>
      <c r="M12" s="161">
        <v>27</v>
      </c>
      <c r="N12" s="49" t="s">
        <v>129</v>
      </c>
      <c r="O12" s="46">
        <v>15.027797</v>
      </c>
      <c r="P12" s="46">
        <v>5.9763719999999996</v>
      </c>
      <c r="Q12" s="46">
        <v>-5.2977953299999996</v>
      </c>
      <c r="R12" s="46">
        <v>4.241993293591654</v>
      </c>
    </row>
    <row r="13" spans="1:18" x14ac:dyDescent="0.2">
      <c r="A13" s="53"/>
      <c r="B13" s="53"/>
      <c r="C13" s="53"/>
      <c r="D13" s="53"/>
      <c r="E13" s="53"/>
      <c r="F13" s="53"/>
      <c r="G13" s="53"/>
      <c r="H13" s="53"/>
      <c r="I13" s="53"/>
      <c r="J13" s="53"/>
      <c r="M13" s="161">
        <v>24</v>
      </c>
      <c r="N13" s="49" t="s">
        <v>34</v>
      </c>
      <c r="O13" s="46">
        <v>12.801477</v>
      </c>
      <c r="P13" s="46">
        <v>20.882591999999999</v>
      </c>
      <c r="Q13" s="46">
        <v>-1.4995930900000001</v>
      </c>
      <c r="R13" s="46">
        <v>11.370545934690975</v>
      </c>
    </row>
    <row r="14" spans="1:18" x14ac:dyDescent="0.2">
      <c r="A14" s="53"/>
      <c r="B14" s="53"/>
      <c r="C14" s="53"/>
      <c r="D14" s="53"/>
      <c r="E14" s="53"/>
      <c r="F14" s="53"/>
      <c r="G14" s="53"/>
      <c r="H14" s="53"/>
      <c r="I14" s="53"/>
      <c r="J14" s="53"/>
      <c r="M14" s="161" t="s">
        <v>181</v>
      </c>
      <c r="N14" s="49" t="s">
        <v>130</v>
      </c>
      <c r="O14" s="46">
        <v>17.299845999999999</v>
      </c>
      <c r="P14" s="46">
        <v>17.213736999999998</v>
      </c>
      <c r="Q14" s="46">
        <v>-1.96374015</v>
      </c>
      <c r="R14" s="46">
        <v>7.9212462336051042</v>
      </c>
    </row>
    <row r="15" spans="1:18" x14ac:dyDescent="0.2">
      <c r="A15" s="53"/>
      <c r="B15" s="53"/>
      <c r="C15" s="53"/>
      <c r="D15" s="53"/>
      <c r="E15" s="53"/>
      <c r="F15" s="53"/>
      <c r="G15" s="53"/>
      <c r="H15" s="53"/>
      <c r="I15" s="53"/>
      <c r="J15" s="53"/>
      <c r="M15" s="161" t="s">
        <v>182</v>
      </c>
      <c r="N15" s="49" t="s">
        <v>131</v>
      </c>
      <c r="O15" s="46">
        <v>17.312352000000001</v>
      </c>
      <c r="P15" s="46">
        <v>20.289798000000001</v>
      </c>
      <c r="Q15" s="46">
        <v>-2.9819351599999999</v>
      </c>
      <c r="R15" s="46">
        <v>12.673120212549415</v>
      </c>
    </row>
    <row r="16" spans="1:18" x14ac:dyDescent="0.2">
      <c r="A16" s="53"/>
      <c r="B16" s="53"/>
      <c r="C16" s="53"/>
      <c r="D16" s="53"/>
      <c r="E16" s="53"/>
      <c r="F16" s="53"/>
      <c r="G16" s="53"/>
      <c r="H16" s="53"/>
      <c r="I16" s="53"/>
      <c r="J16" s="53"/>
      <c r="M16" s="161">
        <v>32</v>
      </c>
      <c r="N16" s="49" t="s">
        <v>38</v>
      </c>
      <c r="O16" s="46">
        <v>31.098509</v>
      </c>
      <c r="P16" s="46">
        <v>14.698619000000001</v>
      </c>
      <c r="Q16" s="46">
        <v>-4.4652219500000001</v>
      </c>
      <c r="R16" s="46">
        <v>3.0559428862825087</v>
      </c>
    </row>
    <row r="17" spans="1:19" x14ac:dyDescent="0.2">
      <c r="A17" s="53"/>
      <c r="B17" s="53"/>
      <c r="C17" s="53"/>
      <c r="D17" s="53"/>
      <c r="E17" s="53"/>
      <c r="F17" s="53"/>
      <c r="G17" s="53"/>
      <c r="H17" s="53"/>
      <c r="I17" s="53"/>
      <c r="J17" s="53"/>
      <c r="M17" s="161">
        <v>33</v>
      </c>
      <c r="N17" s="49" t="s">
        <v>39</v>
      </c>
      <c r="O17" s="46">
        <v>22.476447</v>
      </c>
      <c r="P17" s="46">
        <v>15.03557</v>
      </c>
      <c r="Q17" s="46">
        <v>-8.8183730699999998</v>
      </c>
      <c r="R17" s="46">
        <v>9.9373730548730546</v>
      </c>
    </row>
    <row r="18" spans="1:19" x14ac:dyDescent="0.2">
      <c r="A18" s="53"/>
      <c r="B18" s="53"/>
      <c r="C18" s="53"/>
      <c r="D18" s="53"/>
      <c r="E18" s="53"/>
      <c r="F18" s="53"/>
      <c r="G18" s="53"/>
      <c r="H18" s="53"/>
      <c r="I18" s="53"/>
      <c r="J18" s="53"/>
      <c r="M18" s="161">
        <v>28</v>
      </c>
      <c r="N18" s="49" t="s">
        <v>68</v>
      </c>
      <c r="O18" s="46">
        <v>20.346959999999999</v>
      </c>
      <c r="P18" s="46">
        <v>10.758877999999999</v>
      </c>
      <c r="Q18" s="46">
        <v>-1.24836752</v>
      </c>
      <c r="R18" s="46">
        <v>2.8164936657131179</v>
      </c>
    </row>
    <row r="19" spans="1:19" x14ac:dyDescent="0.2">
      <c r="A19" s="53"/>
      <c r="B19" s="53"/>
      <c r="C19" s="53"/>
      <c r="D19" s="53"/>
      <c r="E19" s="53"/>
      <c r="F19" s="53"/>
      <c r="G19" s="53"/>
      <c r="H19" s="53"/>
      <c r="I19" s="53"/>
      <c r="J19" s="53"/>
      <c r="M19" s="161" t="s">
        <v>183</v>
      </c>
      <c r="N19" s="49" t="s">
        <v>132</v>
      </c>
      <c r="O19" s="46">
        <v>13.513731</v>
      </c>
      <c r="P19" s="46">
        <v>30.753377</v>
      </c>
      <c r="Q19" s="46">
        <v>-1.7978704000000001</v>
      </c>
      <c r="R19" s="46">
        <v>9.350608245847841</v>
      </c>
    </row>
    <row r="20" spans="1:19" x14ac:dyDescent="0.2">
      <c r="A20" s="53"/>
      <c r="B20" s="53"/>
      <c r="C20" s="53"/>
      <c r="D20" s="53"/>
      <c r="E20" s="53"/>
      <c r="F20" s="53"/>
      <c r="G20" s="53"/>
      <c r="H20" s="53"/>
      <c r="I20" s="53"/>
      <c r="J20" s="53"/>
      <c r="M20" s="161">
        <v>22</v>
      </c>
      <c r="N20" s="49" t="s">
        <v>133</v>
      </c>
      <c r="O20" s="46">
        <v>17.076105999999999</v>
      </c>
      <c r="P20" s="46">
        <v>10.90132</v>
      </c>
      <c r="Q20" s="46">
        <v>-6.6511718000000002</v>
      </c>
      <c r="R20" s="46">
        <v>9.8207102211024715</v>
      </c>
    </row>
    <row r="21" spans="1:19" x14ac:dyDescent="0.2">
      <c r="A21" s="53"/>
      <c r="B21" s="53"/>
      <c r="C21" s="53"/>
      <c r="D21" s="53"/>
      <c r="E21" s="53"/>
      <c r="F21" s="53"/>
      <c r="G21" s="53"/>
      <c r="H21" s="53"/>
      <c r="I21" s="53"/>
      <c r="J21" s="53"/>
      <c r="M21" s="161">
        <v>10</v>
      </c>
      <c r="N21" s="49" t="s">
        <v>134</v>
      </c>
      <c r="O21" s="46">
        <v>10.169931999999999</v>
      </c>
      <c r="P21" s="46">
        <v>34.509174999999999</v>
      </c>
      <c r="Q21" s="46">
        <v>-0.51293436999999997</v>
      </c>
      <c r="R21" s="46">
        <v>11.11409209219824</v>
      </c>
    </row>
    <row r="22" spans="1:19" x14ac:dyDescent="0.2">
      <c r="A22" s="53"/>
      <c r="B22" s="53"/>
      <c r="C22" s="53"/>
      <c r="D22" s="53"/>
      <c r="E22" s="53"/>
      <c r="F22" s="53"/>
      <c r="G22" s="53"/>
      <c r="H22" s="53"/>
      <c r="I22" s="53"/>
      <c r="J22" s="53"/>
      <c r="M22" s="161">
        <v>31</v>
      </c>
      <c r="N22" s="49" t="s">
        <v>40</v>
      </c>
      <c r="O22" s="46">
        <v>31.512194999999998</v>
      </c>
      <c r="P22" s="46">
        <v>15.241192</v>
      </c>
      <c r="Q22" s="46">
        <v>-5.0144151600000004</v>
      </c>
      <c r="R22" s="46">
        <v>6.8564133380464245</v>
      </c>
    </row>
    <row r="23" spans="1:19" x14ac:dyDescent="0.2">
      <c r="A23" s="53"/>
      <c r="B23" s="53"/>
      <c r="C23" s="53"/>
      <c r="D23" s="53"/>
      <c r="E23" s="53"/>
      <c r="F23" s="53"/>
      <c r="G23" s="53"/>
      <c r="H23" s="53"/>
      <c r="I23" s="53"/>
      <c r="J23" s="53"/>
      <c r="M23" s="161">
        <v>43</v>
      </c>
      <c r="N23" s="49" t="s">
        <v>41</v>
      </c>
      <c r="O23" s="46">
        <v>43.577672999999997</v>
      </c>
      <c r="P23" s="46">
        <v>5.1782110000000001</v>
      </c>
      <c r="Q23" s="46">
        <v>7.36462094</v>
      </c>
      <c r="R23" s="46">
        <v>6.9148133665126208</v>
      </c>
    </row>
    <row r="24" spans="1:19" x14ac:dyDescent="0.2">
      <c r="A24" s="53"/>
      <c r="B24" s="53"/>
      <c r="C24" s="53"/>
      <c r="D24" s="53"/>
      <c r="E24" s="53"/>
      <c r="F24" s="53"/>
      <c r="G24" s="53"/>
      <c r="H24" s="53"/>
      <c r="I24" s="53"/>
      <c r="J24" s="53"/>
      <c r="M24" s="161">
        <v>11</v>
      </c>
      <c r="N24" s="49" t="s">
        <v>135</v>
      </c>
      <c r="O24" s="46">
        <v>14.087574999999999</v>
      </c>
      <c r="P24" s="46">
        <v>20.429309</v>
      </c>
      <c r="Q24" s="46">
        <v>-1.9173368500000001</v>
      </c>
      <c r="R24" s="46">
        <v>11.761386450223622</v>
      </c>
    </row>
    <row r="25" spans="1:19" x14ac:dyDescent="0.2">
      <c r="A25" s="53"/>
      <c r="B25" s="53"/>
      <c r="C25" s="53"/>
      <c r="D25" s="53"/>
      <c r="E25" s="53"/>
      <c r="F25" s="53"/>
      <c r="G25" s="53"/>
      <c r="H25" s="53"/>
      <c r="I25" s="53"/>
      <c r="J25" s="53"/>
      <c r="M25" s="161">
        <v>12</v>
      </c>
      <c r="N25" s="49" t="s">
        <v>23</v>
      </c>
      <c r="O25" s="46">
        <v>15.125116999999999</v>
      </c>
      <c r="P25" s="46">
        <v>14.597576999999999</v>
      </c>
      <c r="Q25" s="46">
        <v>-4.0951958299999998</v>
      </c>
      <c r="R25" s="46">
        <v>10.439767064592829</v>
      </c>
    </row>
    <row r="26" spans="1:19" x14ac:dyDescent="0.2">
      <c r="A26" s="53"/>
      <c r="B26" s="53"/>
      <c r="C26" s="53"/>
      <c r="D26" s="53"/>
      <c r="E26" s="53"/>
      <c r="F26" s="53"/>
      <c r="G26" s="53"/>
      <c r="H26" s="53"/>
      <c r="I26" s="53"/>
      <c r="J26" s="53"/>
      <c r="M26" s="161">
        <v>17</v>
      </c>
      <c r="N26" s="49" t="s">
        <v>136</v>
      </c>
      <c r="O26" s="46">
        <v>17.705113000000001</v>
      </c>
      <c r="P26" s="46">
        <v>37.240333999999997</v>
      </c>
      <c r="Q26" s="46">
        <v>-1.09284629</v>
      </c>
      <c r="R26" s="46">
        <v>7.8497420196096792</v>
      </c>
      <c r="S26" s="163"/>
    </row>
    <row r="27" spans="1:19" x14ac:dyDescent="0.2">
      <c r="A27" s="53"/>
      <c r="B27" s="53"/>
      <c r="C27" s="53"/>
      <c r="D27" s="53"/>
      <c r="E27" s="53"/>
      <c r="F27" s="53"/>
      <c r="G27" s="53"/>
      <c r="H27" s="53"/>
      <c r="I27" s="53"/>
      <c r="J27" s="53"/>
      <c r="M27" s="161">
        <v>23</v>
      </c>
      <c r="N27" s="49" t="s">
        <v>137</v>
      </c>
      <c r="O27" s="46">
        <v>16.000350999999998</v>
      </c>
      <c r="P27" s="46">
        <v>26.338117</v>
      </c>
      <c r="Q27" s="46">
        <v>-1.7971039499999999</v>
      </c>
      <c r="R27" s="46">
        <v>12.711671208568351</v>
      </c>
      <c r="S27" s="163"/>
    </row>
    <row r="28" spans="1:19" x14ac:dyDescent="0.2">
      <c r="A28" s="53"/>
      <c r="B28" s="53"/>
      <c r="C28" s="53"/>
      <c r="D28" s="53"/>
      <c r="E28" s="53"/>
      <c r="F28" s="53"/>
      <c r="G28" s="53"/>
      <c r="H28" s="53"/>
      <c r="I28" s="53"/>
      <c r="J28" s="53"/>
      <c r="M28" s="161" t="s">
        <v>185</v>
      </c>
      <c r="N28" s="49" t="s">
        <v>175</v>
      </c>
      <c r="O28" s="46">
        <v>16.377466999999999</v>
      </c>
      <c r="P28" s="46">
        <v>22.998348</v>
      </c>
      <c r="Q28" s="46">
        <v>-1.1744288899999999</v>
      </c>
      <c r="R28" s="46">
        <v>9.4993534220407714</v>
      </c>
      <c r="S28" s="163"/>
    </row>
    <row r="29" spans="1:19" x14ac:dyDescent="0.2">
      <c r="K29" s="53"/>
      <c r="M29" s="161">
        <v>18</v>
      </c>
      <c r="N29" s="49" t="s">
        <v>26</v>
      </c>
      <c r="O29" s="46">
        <v>19.754802000000002</v>
      </c>
      <c r="P29" s="46">
        <v>17.443176000000001</v>
      </c>
      <c r="Q29" s="46">
        <v>-4.0880805499999999</v>
      </c>
      <c r="R29" s="46">
        <v>8.2490922898659651</v>
      </c>
      <c r="S29" s="163"/>
    </row>
    <row r="30" spans="1:19" ht="24.75" customHeight="1" x14ac:dyDescent="0.2">
      <c r="A30" s="51"/>
      <c r="B30" s="53"/>
      <c r="C30" s="53"/>
      <c r="D30" s="53"/>
      <c r="E30" s="53"/>
      <c r="F30" s="416"/>
      <c r="G30" s="416"/>
      <c r="H30" s="416"/>
      <c r="I30" s="416"/>
      <c r="K30" s="53"/>
      <c r="M30" s="161" t="s">
        <v>184</v>
      </c>
      <c r="N30" s="49" t="s">
        <v>33</v>
      </c>
      <c r="O30" s="46">
        <v>7.7295889999999998</v>
      </c>
      <c r="P30" s="46">
        <v>36.071672</v>
      </c>
      <c r="Q30" s="46">
        <v>8.956778E-2</v>
      </c>
      <c r="R30" s="46">
        <v>16.365346958187533</v>
      </c>
      <c r="S30" s="163"/>
    </row>
    <row r="31" spans="1:19" x14ac:dyDescent="0.2">
      <c r="A31" s="50"/>
      <c r="B31" s="53"/>
      <c r="C31" s="53"/>
      <c r="D31" s="53"/>
      <c r="E31" s="53"/>
      <c r="F31" s="50"/>
      <c r="G31" s="47"/>
      <c r="H31" s="47"/>
      <c r="I31" s="47"/>
      <c r="M31" s="161">
        <v>13</v>
      </c>
      <c r="N31" s="49" t="s">
        <v>138</v>
      </c>
      <c r="O31" s="46">
        <v>16.979963999999999</v>
      </c>
      <c r="P31" s="46">
        <v>20.886310999999999</v>
      </c>
      <c r="Q31" s="46">
        <v>-3.5904867399999998</v>
      </c>
      <c r="R31" s="46">
        <v>9.7754848297691659</v>
      </c>
      <c r="S31" s="163"/>
    </row>
    <row r="32" spans="1:19" x14ac:dyDescent="0.2">
      <c r="K32" s="53"/>
      <c r="M32" s="161">
        <v>19</v>
      </c>
      <c r="N32" s="49" t="s">
        <v>139</v>
      </c>
      <c r="O32" s="46">
        <v>16.808403999999999</v>
      </c>
      <c r="P32" s="46">
        <v>22.345956000000001</v>
      </c>
      <c r="Q32" s="46">
        <v>-3.7513868800000001</v>
      </c>
      <c r="R32" s="46">
        <v>9.6847899567660036</v>
      </c>
      <c r="S32" s="163"/>
    </row>
    <row r="33" spans="1:19" x14ac:dyDescent="0.2">
      <c r="A33" s="53"/>
      <c r="B33" s="53"/>
      <c r="C33" s="53"/>
      <c r="D33" s="53"/>
      <c r="E33" s="53"/>
      <c r="F33" s="47"/>
      <c r="G33" s="47"/>
      <c r="H33" s="47"/>
      <c r="I33" s="47"/>
      <c r="K33" s="53"/>
      <c r="M33" s="161">
        <v>14</v>
      </c>
      <c r="N33" s="49" t="s">
        <v>140</v>
      </c>
      <c r="O33" s="46">
        <v>15.000175</v>
      </c>
      <c r="P33" s="46">
        <v>24.755078000000001</v>
      </c>
      <c r="Q33" s="46">
        <v>-2.9382220000000001</v>
      </c>
      <c r="R33" s="46">
        <v>9.5165207371558971</v>
      </c>
      <c r="S33" s="163"/>
    </row>
    <row r="34" spans="1:19" x14ac:dyDescent="0.2">
      <c r="A34" s="53"/>
      <c r="B34" s="53"/>
      <c r="C34" s="53"/>
      <c r="D34" s="53"/>
      <c r="E34" s="53"/>
      <c r="F34" s="47"/>
      <c r="G34" s="47"/>
      <c r="H34" s="47"/>
      <c r="I34" s="47"/>
      <c r="K34" s="53"/>
      <c r="M34" s="161">
        <v>15</v>
      </c>
      <c r="N34" s="49" t="s">
        <v>141</v>
      </c>
      <c r="O34" s="46">
        <v>12.557824</v>
      </c>
      <c r="P34" s="46">
        <v>12.306965999999999</v>
      </c>
      <c r="Q34" s="46">
        <v>-1.44036656</v>
      </c>
      <c r="R34" s="46">
        <v>14.762313053721746</v>
      </c>
      <c r="S34" s="163"/>
    </row>
    <row r="35" spans="1:19" x14ac:dyDescent="0.2">
      <c r="A35" s="53"/>
      <c r="B35" s="53"/>
      <c r="C35" s="53"/>
      <c r="D35" s="53"/>
      <c r="E35" s="53"/>
      <c r="F35" s="47"/>
      <c r="G35" s="47"/>
      <c r="H35" s="47"/>
      <c r="I35" s="47"/>
      <c r="K35" s="53"/>
      <c r="M35" s="161">
        <v>16</v>
      </c>
      <c r="N35" s="49" t="s">
        <v>142</v>
      </c>
      <c r="O35" s="46">
        <v>12.708674999999999</v>
      </c>
      <c r="P35" s="46">
        <v>22.205373999999999</v>
      </c>
      <c r="Q35" s="46">
        <v>-1.0192664600000001</v>
      </c>
      <c r="R35" s="46">
        <v>10.961163432890052</v>
      </c>
      <c r="S35" s="163"/>
    </row>
    <row r="36" spans="1:19" x14ac:dyDescent="0.2">
      <c r="A36" s="53"/>
      <c r="B36" s="53"/>
      <c r="C36" s="53"/>
      <c r="D36" s="53"/>
      <c r="E36" s="53"/>
      <c r="F36" s="47"/>
      <c r="G36" s="47"/>
      <c r="H36" s="47"/>
      <c r="I36" s="47"/>
      <c r="K36" s="53"/>
      <c r="M36" s="161">
        <v>25</v>
      </c>
      <c r="N36" s="49" t="s">
        <v>143</v>
      </c>
      <c r="O36" s="46">
        <v>12.509864</v>
      </c>
      <c r="P36" s="46">
        <v>32.906435999999999</v>
      </c>
      <c r="Q36" s="46">
        <v>2.9282615000000001</v>
      </c>
      <c r="R36" s="46">
        <v>13.341017865029791</v>
      </c>
      <c r="S36" s="163"/>
    </row>
    <row r="37" spans="1:19" x14ac:dyDescent="0.2">
      <c r="A37" s="53"/>
      <c r="B37" s="53"/>
      <c r="C37" s="53"/>
      <c r="D37" s="53"/>
      <c r="E37" s="53"/>
      <c r="F37" s="47"/>
      <c r="G37" s="47"/>
      <c r="H37" s="47"/>
      <c r="I37" s="47"/>
      <c r="K37" s="53"/>
      <c r="M37" s="162"/>
      <c r="N37" s="49" t="s">
        <v>9</v>
      </c>
      <c r="O37" s="46">
        <v>13.854918</v>
      </c>
      <c r="P37" s="46">
        <v>26.125941999999998</v>
      </c>
      <c r="Q37" s="46">
        <v>-1.47242699</v>
      </c>
      <c r="R37" s="46">
        <v>11.274159273221464</v>
      </c>
    </row>
    <row r="38" spans="1:19" x14ac:dyDescent="0.2">
      <c r="B38" s="336" t="s">
        <v>248</v>
      </c>
      <c r="C38" s="53"/>
      <c r="D38" s="53"/>
      <c r="E38" s="53"/>
      <c r="F38" s="47"/>
      <c r="G38" s="47"/>
      <c r="H38" s="47"/>
      <c r="I38" s="47"/>
      <c r="K38" s="53"/>
    </row>
  </sheetData>
  <sortState ref="O40:P70">
    <sortCondition ref="O40:O70"/>
  </sortState>
  <mergeCells count="1">
    <mergeCell ref="F30:I30"/>
  </mergeCells>
  <hyperlinks>
    <hyperlink ref="A1" location="Sommaire!A2" display="Retour au sommaire"/>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N51"/>
  <sheetViews>
    <sheetView topLeftCell="A13" workbookViewId="0">
      <selection activeCell="A7" sqref="A7"/>
    </sheetView>
  </sheetViews>
  <sheetFormatPr baseColWidth="10" defaultRowHeight="12.75" x14ac:dyDescent="0.2"/>
  <cols>
    <col min="1" max="1" width="46.28515625" style="157" customWidth="1"/>
    <col min="2" max="2" width="11.28515625" style="157" customWidth="1"/>
    <col min="3" max="7" width="9.85546875" style="157" bestFit="1" customWidth="1"/>
    <col min="8" max="9" width="11.42578125" style="157"/>
    <col min="10" max="10" width="14.85546875" style="157" customWidth="1"/>
    <col min="11" max="12" width="13.140625" style="157" bestFit="1" customWidth="1"/>
    <col min="13" max="13" width="15.42578125" style="157" customWidth="1"/>
    <col min="14" max="16384" width="11.42578125" style="157"/>
  </cols>
  <sheetData>
    <row r="1" spans="1:14" s="184" customFormat="1" ht="15" x14ac:dyDescent="0.25">
      <c r="A1" s="35" t="s">
        <v>249</v>
      </c>
    </row>
    <row r="2" spans="1:14" s="184" customFormat="1" x14ac:dyDescent="0.2">
      <c r="A2" s="337" t="s">
        <v>200</v>
      </c>
      <c r="B2" s="240"/>
      <c r="C2" s="240"/>
      <c r="D2" s="240"/>
      <c r="E2" s="240"/>
      <c r="F2" s="240"/>
      <c r="G2" s="240"/>
    </row>
    <row r="3" spans="1:14" s="184" customFormat="1" x14ac:dyDescent="0.2">
      <c r="A3" s="364" t="s">
        <v>282</v>
      </c>
      <c r="B3" s="240"/>
      <c r="C3" s="240"/>
      <c r="D3" s="240"/>
      <c r="E3" s="240"/>
      <c r="F3" s="240"/>
      <c r="G3" s="240"/>
    </row>
    <row r="4" spans="1:14" s="312" customFormat="1" ht="17.45" customHeight="1" x14ac:dyDescent="0.2">
      <c r="A4" s="325"/>
      <c r="B4" s="325" t="s">
        <v>221</v>
      </c>
      <c r="C4" s="325" t="s">
        <v>222</v>
      </c>
      <c r="D4" s="325" t="s">
        <v>66</v>
      </c>
      <c r="E4" s="325" t="s">
        <v>67</v>
      </c>
      <c r="F4" s="325" t="s">
        <v>81</v>
      </c>
      <c r="G4" s="325" t="s">
        <v>114</v>
      </c>
      <c r="H4" s="325" t="s">
        <v>144</v>
      </c>
      <c r="I4" s="325" t="s">
        <v>145</v>
      </c>
      <c r="J4" s="325" t="s">
        <v>223</v>
      </c>
      <c r="K4" s="325" t="s">
        <v>224</v>
      </c>
      <c r="L4" s="325" t="s">
        <v>225</v>
      </c>
      <c r="M4" s="325" t="s">
        <v>291</v>
      </c>
    </row>
    <row r="5" spans="1:14" s="312" customFormat="1" ht="17.45" customHeight="1" x14ac:dyDescent="0.25">
      <c r="A5" s="82" t="s">
        <v>80</v>
      </c>
      <c r="B5" s="338">
        <v>1429.7380000000001</v>
      </c>
      <c r="C5" s="338">
        <v>1443.2840000000001</v>
      </c>
      <c r="D5" s="338">
        <v>1479.337</v>
      </c>
      <c r="E5" s="338">
        <v>1509.6189999999999</v>
      </c>
      <c r="F5" s="338">
        <v>1552.2449999999999</v>
      </c>
      <c r="G5" s="338">
        <v>1568.854</v>
      </c>
      <c r="H5" s="338">
        <v>1584.8209999999999</v>
      </c>
      <c r="I5" s="338">
        <v>1614.883</v>
      </c>
      <c r="J5" s="338">
        <v>1635.35</v>
      </c>
      <c r="K5" s="338">
        <v>1649.9780000000001</v>
      </c>
      <c r="L5" s="339">
        <v>1656.914</v>
      </c>
      <c r="M5" s="339">
        <v>1597.691</v>
      </c>
      <c r="N5" s="367"/>
    </row>
    <row r="6" spans="1:14" s="312" customFormat="1" ht="17.45" customHeight="1" x14ac:dyDescent="0.25">
      <c r="A6" s="82" t="s">
        <v>342</v>
      </c>
      <c r="B6" s="338">
        <v>1314.7240000000002</v>
      </c>
      <c r="C6" s="338">
        <v>1328.6070000000002</v>
      </c>
      <c r="D6" s="338">
        <v>1363.559</v>
      </c>
      <c r="E6" s="338">
        <v>1393.2239999999999</v>
      </c>
      <c r="F6" s="338">
        <v>1436.0619999999999</v>
      </c>
      <c r="G6" s="338">
        <v>1452.3030000000001</v>
      </c>
      <c r="H6" s="338">
        <v>1468.07</v>
      </c>
      <c r="I6" s="338">
        <v>1495.222</v>
      </c>
      <c r="J6" s="338">
        <v>1514.799</v>
      </c>
      <c r="K6" s="338">
        <v>1529.048</v>
      </c>
      <c r="L6" s="339">
        <v>1541.8579999999999</v>
      </c>
      <c r="M6" s="339">
        <v>1490.4349999999999</v>
      </c>
    </row>
    <row r="7" spans="1:14" s="312" customFormat="1" ht="17.45" customHeight="1" x14ac:dyDescent="0.25">
      <c r="A7" s="326" t="s">
        <v>250</v>
      </c>
      <c r="B7" s="338">
        <v>2385.0509999999999</v>
      </c>
      <c r="C7" s="338">
        <v>2421.5729999999999</v>
      </c>
      <c r="D7" s="338">
        <v>2472.799</v>
      </c>
      <c r="E7" s="338">
        <v>2507.8029999999999</v>
      </c>
      <c r="F7" s="338">
        <v>2569.8960000000002</v>
      </c>
      <c r="G7" s="338">
        <v>2617.3159999999998</v>
      </c>
      <c r="H7" s="338">
        <v>2689.8090000000002</v>
      </c>
      <c r="I7" s="338">
        <v>2754.5859999999998</v>
      </c>
      <c r="J7" s="338">
        <v>2807.002</v>
      </c>
      <c r="K7" s="338">
        <v>2895.4940000000001</v>
      </c>
      <c r="L7" s="339">
        <v>2979.163</v>
      </c>
      <c r="M7" s="339">
        <v>2935.297</v>
      </c>
    </row>
    <row r="8" spans="1:14" s="329" customFormat="1" ht="16.5" customHeight="1" x14ac:dyDescent="0.2">
      <c r="A8" s="340" t="s">
        <v>325</v>
      </c>
      <c r="B8" s="341"/>
      <c r="C8" s="341"/>
      <c r="D8" s="341"/>
      <c r="E8" s="341"/>
      <c r="F8" s="341"/>
      <c r="G8" s="342"/>
      <c r="H8" s="342"/>
      <c r="I8" s="342"/>
      <c r="J8" s="342"/>
      <c r="K8" s="342"/>
      <c r="L8" s="157"/>
      <c r="M8" s="230"/>
    </row>
    <row r="9" spans="1:14" ht="30.75" customHeight="1" x14ac:dyDescent="0.2">
      <c r="A9" s="417" t="s">
        <v>219</v>
      </c>
      <c r="B9" s="417"/>
      <c r="C9" s="417"/>
      <c r="D9" s="417"/>
      <c r="E9" s="417"/>
      <c r="F9" s="417"/>
      <c r="G9" s="417"/>
      <c r="H9" s="417"/>
      <c r="I9" s="417"/>
      <c r="J9" s="417"/>
      <c r="K9" s="417"/>
    </row>
    <row r="10" spans="1:14" ht="15" x14ac:dyDescent="0.25">
      <c r="A10" s="35" t="s">
        <v>249</v>
      </c>
    </row>
    <row r="11" spans="1:14" x14ac:dyDescent="0.2">
      <c r="F11" s="316"/>
    </row>
    <row r="13" spans="1:14" x14ac:dyDescent="0.2">
      <c r="L13" s="230"/>
    </row>
    <row r="31" spans="1:1" x14ac:dyDescent="0.2">
      <c r="A31" s="268"/>
    </row>
    <row r="32" spans="1:1" x14ac:dyDescent="0.2">
      <c r="A32" s="268"/>
    </row>
    <row r="35" spans="1:13" x14ac:dyDescent="0.2">
      <c r="M35" s="159"/>
    </row>
    <row r="42" spans="1:13" x14ac:dyDescent="0.2">
      <c r="A42" s="343"/>
    </row>
    <row r="45" spans="1:13" ht="12.75" customHeight="1" x14ac:dyDescent="0.2">
      <c r="A45" s="340" t="s">
        <v>325</v>
      </c>
      <c r="B45" s="341"/>
      <c r="C45" s="341"/>
      <c r="D45" s="341"/>
      <c r="E45" s="341"/>
      <c r="F45" s="341"/>
      <c r="G45" s="342"/>
      <c r="H45" s="342"/>
      <c r="I45" s="342"/>
      <c r="J45" s="342"/>
      <c r="K45" s="342"/>
    </row>
    <row r="46" spans="1:13" ht="24" customHeight="1" x14ac:dyDescent="0.2">
      <c r="A46" s="417" t="s">
        <v>284</v>
      </c>
      <c r="B46" s="417"/>
      <c r="C46" s="417"/>
      <c r="D46" s="417"/>
      <c r="E46" s="417"/>
      <c r="F46" s="417"/>
      <c r="G46" s="417"/>
      <c r="H46" s="417"/>
      <c r="I46" s="417"/>
      <c r="J46" s="417"/>
      <c r="K46" s="379"/>
    </row>
    <row r="50" spans="1:14" s="312" customFormat="1" ht="17.45" customHeight="1" x14ac:dyDescent="0.2">
      <c r="A50" s="157"/>
      <c r="B50" s="157"/>
      <c r="C50" s="157"/>
      <c r="D50" s="157"/>
      <c r="E50" s="157"/>
      <c r="F50" s="157"/>
      <c r="G50" s="157"/>
      <c r="H50" s="157"/>
      <c r="I50" s="157"/>
      <c r="J50" s="157"/>
      <c r="K50" s="157"/>
      <c r="L50" s="157"/>
      <c r="M50" s="157"/>
    </row>
    <row r="51" spans="1:14" s="312" customFormat="1" ht="17.45" customHeight="1" x14ac:dyDescent="0.2">
      <c r="A51" s="157"/>
      <c r="B51" s="157"/>
      <c r="C51" s="157"/>
      <c r="D51" s="157"/>
      <c r="E51" s="157"/>
      <c r="F51" s="157"/>
      <c r="G51" s="157"/>
      <c r="H51" s="157"/>
      <c r="I51" s="157"/>
      <c r="J51" s="157"/>
      <c r="K51" s="157"/>
      <c r="L51" s="157"/>
      <c r="M51" s="157"/>
      <c r="N51" s="117"/>
    </row>
  </sheetData>
  <mergeCells count="2">
    <mergeCell ref="A9:K9"/>
    <mergeCell ref="A46:J46"/>
  </mergeCells>
  <hyperlinks>
    <hyperlink ref="A3" location="Sommaire!A2" display="Retour au sommaire"/>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Q56"/>
  <sheetViews>
    <sheetView workbookViewId="0"/>
  </sheetViews>
  <sheetFormatPr baseColWidth="10" defaultRowHeight="12.75" x14ac:dyDescent="0.2"/>
  <cols>
    <col min="1" max="1" width="48.5703125" style="157" customWidth="1"/>
    <col min="2" max="2" width="11.28515625" style="157" customWidth="1"/>
    <col min="3" max="7" width="9.85546875" style="157" bestFit="1" customWidth="1"/>
    <col min="8" max="9" width="11.42578125" style="157"/>
    <col min="10" max="10" width="14.85546875" style="157" customWidth="1"/>
    <col min="11" max="12" width="13.140625" style="157" bestFit="1" customWidth="1"/>
    <col min="13" max="13" width="13.140625" style="157" customWidth="1"/>
    <col min="14" max="16384" width="11.42578125" style="157"/>
  </cols>
  <sheetData>
    <row r="1" spans="1:17" s="184" customFormat="1" ht="15" x14ac:dyDescent="0.25">
      <c r="A1" s="35" t="s">
        <v>251</v>
      </c>
    </row>
    <row r="2" spans="1:17" s="184" customFormat="1" x14ac:dyDescent="0.2">
      <c r="A2" s="337" t="s">
        <v>200</v>
      </c>
      <c r="B2" s="240"/>
      <c r="C2" s="240"/>
      <c r="D2" s="240"/>
      <c r="E2" s="240"/>
      <c r="F2" s="240"/>
      <c r="G2" s="240"/>
    </row>
    <row r="3" spans="1:17" s="184" customFormat="1" x14ac:dyDescent="0.2">
      <c r="A3" s="364" t="s">
        <v>282</v>
      </c>
      <c r="B3" s="240"/>
      <c r="C3" s="240"/>
      <c r="D3" s="240"/>
      <c r="E3" s="240"/>
      <c r="F3" s="240"/>
      <c r="G3" s="240"/>
    </row>
    <row r="4" spans="1:17" s="312" customFormat="1" ht="17.45" customHeight="1" x14ac:dyDescent="0.2">
      <c r="A4" s="325"/>
      <c r="B4" s="325" t="s">
        <v>221</v>
      </c>
      <c r="C4" s="325" t="s">
        <v>222</v>
      </c>
      <c r="D4" s="325" t="s">
        <v>66</v>
      </c>
      <c r="E4" s="325" t="s">
        <v>67</v>
      </c>
      <c r="F4" s="325" t="s">
        <v>81</v>
      </c>
      <c r="G4" s="325" t="s">
        <v>114</v>
      </c>
      <c r="H4" s="325" t="s">
        <v>144</v>
      </c>
      <c r="I4" s="325" t="s">
        <v>145</v>
      </c>
      <c r="J4" s="325" t="s">
        <v>223</v>
      </c>
      <c r="K4" s="325" t="s">
        <v>224</v>
      </c>
      <c r="L4" s="325" t="s">
        <v>225</v>
      </c>
      <c r="M4" s="325" t="s">
        <v>291</v>
      </c>
    </row>
    <row r="5" spans="1:17" s="312" customFormat="1" ht="17.45" customHeight="1" x14ac:dyDescent="0.2">
      <c r="A5" s="116" t="s">
        <v>327</v>
      </c>
      <c r="B5" s="216">
        <v>115.014</v>
      </c>
      <c r="C5" s="216">
        <v>114.67700000000001</v>
      </c>
      <c r="D5" s="216">
        <v>115.77800000000001</v>
      </c>
      <c r="E5" s="216">
        <v>116.395</v>
      </c>
      <c r="F5" s="118">
        <v>116.18300000000001</v>
      </c>
      <c r="G5" s="117">
        <v>116.551</v>
      </c>
      <c r="H5" s="117">
        <v>116.751</v>
      </c>
      <c r="I5" s="117">
        <f>119661/1000</f>
        <v>119.661</v>
      </c>
      <c r="J5" s="117">
        <f>120551/1000</f>
        <v>120.551</v>
      </c>
      <c r="K5" s="117">
        <f>120930/1000</f>
        <v>120.93</v>
      </c>
      <c r="L5" s="117">
        <f>115056/1000</f>
        <v>115.056</v>
      </c>
      <c r="M5" s="344">
        <f>107256/1000</f>
        <v>107.256</v>
      </c>
      <c r="N5" s="117"/>
    </row>
    <row r="6" spans="1:17" s="312" customFormat="1" ht="17.45" customHeight="1" x14ac:dyDescent="0.2">
      <c r="A6" s="207" t="s">
        <v>252</v>
      </c>
      <c r="B6" s="216">
        <v>130.41999999999999</v>
      </c>
      <c r="C6" s="216">
        <v>134.333</v>
      </c>
      <c r="D6" s="216">
        <v>137.30500000000001</v>
      </c>
      <c r="E6" s="216">
        <v>141.54499999999999</v>
      </c>
      <c r="F6" s="294">
        <v>146.429</v>
      </c>
      <c r="G6" s="216">
        <v>152.476</v>
      </c>
      <c r="H6" s="216">
        <v>158.767</v>
      </c>
      <c r="I6" s="216">
        <v>164.17699999999999</v>
      </c>
      <c r="J6" s="216">
        <v>167.547</v>
      </c>
      <c r="K6" s="216">
        <v>171.92500000000001</v>
      </c>
      <c r="L6" s="216">
        <v>175.66399999999999</v>
      </c>
      <c r="M6" s="344">
        <f>177623/1000</f>
        <v>177.62299999999999</v>
      </c>
      <c r="N6" s="216"/>
    </row>
    <row r="7" spans="1:17" s="312" customFormat="1" ht="17.45" customHeight="1" x14ac:dyDescent="0.2">
      <c r="A7" s="207" t="s">
        <v>214</v>
      </c>
      <c r="B7" s="216">
        <v>246.02500000000001</v>
      </c>
      <c r="C7" s="216">
        <v>253.72900000000001</v>
      </c>
      <c r="D7" s="216">
        <v>254.96700000000001</v>
      </c>
      <c r="E7" s="216">
        <v>255.27699999999999</v>
      </c>
      <c r="F7" s="294">
        <v>256.06599999999997</v>
      </c>
      <c r="G7" s="216">
        <v>257.24700000000001</v>
      </c>
      <c r="H7" s="216">
        <v>256.56299999999999</v>
      </c>
      <c r="I7" s="216">
        <f>262626/1000</f>
        <v>262.62599999999998</v>
      </c>
      <c r="J7" s="216">
        <f>262498/1000</f>
        <v>262.49799999999999</v>
      </c>
      <c r="K7" s="216">
        <f>267350/1000</f>
        <v>267.35000000000002</v>
      </c>
      <c r="L7" s="216">
        <f>252041/1000</f>
        <v>252.041</v>
      </c>
      <c r="M7" s="344">
        <f>227769/1000</f>
        <v>227.76900000000001</v>
      </c>
      <c r="N7" s="216"/>
      <c r="O7" s="377"/>
      <c r="P7" s="377"/>
      <c r="Q7" s="377"/>
    </row>
    <row r="8" spans="1:17" s="312" customFormat="1" ht="17.45" customHeight="1" x14ac:dyDescent="0.2">
      <c r="A8" s="207" t="s">
        <v>218</v>
      </c>
      <c r="B8" s="216">
        <v>55.136000000000003</v>
      </c>
      <c r="C8" s="216">
        <v>61.768999999999998</v>
      </c>
      <c r="D8" s="216">
        <v>60.834000000000003</v>
      </c>
      <c r="E8" s="216">
        <v>58.62</v>
      </c>
      <c r="F8" s="294">
        <v>60.094999999999999</v>
      </c>
      <c r="G8" s="216">
        <v>62.83</v>
      </c>
      <c r="H8" s="216">
        <v>67.400999999999996</v>
      </c>
      <c r="I8" s="216">
        <v>72.608000000000004</v>
      </c>
      <c r="J8" s="216">
        <v>79.225999999999999</v>
      </c>
      <c r="K8" s="216">
        <v>109.48</v>
      </c>
      <c r="L8" s="216">
        <v>156.82400000000001</v>
      </c>
      <c r="M8" s="344">
        <f>178914/1000</f>
        <v>178.91399999999999</v>
      </c>
      <c r="N8" s="377"/>
      <c r="O8" s="377"/>
      <c r="P8" s="377"/>
      <c r="Q8" s="377"/>
    </row>
    <row r="9" spans="1:17" s="312" customFormat="1" ht="17.45" customHeight="1" x14ac:dyDescent="0.2">
      <c r="A9" s="207" t="s">
        <v>49</v>
      </c>
      <c r="B9" s="216">
        <v>80.411000000000001</v>
      </c>
      <c r="C9" s="216">
        <v>82.165000000000006</v>
      </c>
      <c r="D9" s="216">
        <v>83.424999999999997</v>
      </c>
      <c r="E9" s="216">
        <v>84.046000000000006</v>
      </c>
      <c r="F9" s="294">
        <v>85.938000000000002</v>
      </c>
      <c r="G9" s="216">
        <v>86.472999999999999</v>
      </c>
      <c r="H9" s="216">
        <v>86.477999999999994</v>
      </c>
      <c r="I9" s="216">
        <f>85121/1000</f>
        <v>85.120999999999995</v>
      </c>
      <c r="J9" s="216">
        <f>85070/1000</f>
        <v>85.07</v>
      </c>
      <c r="K9" s="216">
        <f>84903/1000</f>
        <v>84.903000000000006</v>
      </c>
      <c r="L9" s="216">
        <f>83371/1000</f>
        <v>83.370999999999995</v>
      </c>
      <c r="M9" s="344">
        <f>81164/1000</f>
        <v>81.164000000000001</v>
      </c>
      <c r="N9" s="216"/>
      <c r="O9" s="377"/>
    </row>
    <row r="10" spans="1:17" s="312" customFormat="1" ht="17.45" customHeight="1" x14ac:dyDescent="0.2">
      <c r="A10" s="207" t="s">
        <v>108</v>
      </c>
      <c r="B10" s="216">
        <v>126.69799999999999</v>
      </c>
      <c r="C10" s="216">
        <v>131.04300000000001</v>
      </c>
      <c r="D10" s="216">
        <v>134.17699999999999</v>
      </c>
      <c r="E10" s="216">
        <v>134.32900000000001</v>
      </c>
      <c r="F10" s="294">
        <v>136.244</v>
      </c>
      <c r="G10" s="216">
        <v>152.08000000000001</v>
      </c>
      <c r="H10" s="216">
        <v>174.09200000000001</v>
      </c>
      <c r="I10" s="216">
        <f>187428/1000</f>
        <v>187.428</v>
      </c>
      <c r="J10" s="216">
        <f>199225/1000</f>
        <v>199.22499999999999</v>
      </c>
      <c r="K10" s="216">
        <f>219337/1000</f>
        <v>219.33699999999999</v>
      </c>
      <c r="L10" s="216">
        <f>239146/1000</f>
        <v>239.14599999999999</v>
      </c>
      <c r="M10" s="344">
        <f>244865/1000</f>
        <v>244.86500000000001</v>
      </c>
      <c r="N10" s="216"/>
    </row>
    <row r="11" spans="1:17" s="312" customFormat="1" ht="17.45" customHeight="1" x14ac:dyDescent="0.2">
      <c r="A11" s="207" t="s">
        <v>321</v>
      </c>
      <c r="B11" s="216">
        <v>140.6</v>
      </c>
      <c r="C11" s="216">
        <v>132.9</v>
      </c>
      <c r="D11" s="216">
        <v>135.1</v>
      </c>
      <c r="E11" s="216">
        <v>135.44900000000001</v>
      </c>
      <c r="F11" s="294">
        <v>135.17599999999999</v>
      </c>
      <c r="G11" s="216">
        <v>135.08000000000001</v>
      </c>
      <c r="H11" s="216">
        <v>134.75800000000001</v>
      </c>
      <c r="I11" s="216">
        <f>(138256+364)/1000</f>
        <v>138.62</v>
      </c>
      <c r="J11" s="216">
        <f>140613/1000</f>
        <v>140.613</v>
      </c>
      <c r="K11" s="216">
        <f>142041/1000</f>
        <v>142.041</v>
      </c>
      <c r="L11" s="216">
        <f>152274/1000</f>
        <v>152.274</v>
      </c>
      <c r="M11" s="344">
        <f>152368/1000</f>
        <v>152.36799999999999</v>
      </c>
      <c r="N11" s="216"/>
    </row>
    <row r="12" spans="1:17" s="312" customFormat="1" ht="17.45" customHeight="1" x14ac:dyDescent="0.2">
      <c r="A12" s="345" t="s">
        <v>253</v>
      </c>
      <c r="B12" s="346">
        <v>200.72300000000001</v>
      </c>
      <c r="C12" s="346">
        <v>207.45</v>
      </c>
      <c r="D12" s="346">
        <v>213.35400000000001</v>
      </c>
      <c r="E12" s="346">
        <v>215.52099999999999</v>
      </c>
      <c r="F12" s="347">
        <v>226.173</v>
      </c>
      <c r="G12" s="346">
        <v>231.97399999999999</v>
      </c>
      <c r="H12" s="346">
        <v>256.786</v>
      </c>
      <c r="I12" s="346">
        <f>(260480-364)/1000</f>
        <v>260.11599999999999</v>
      </c>
      <c r="J12" s="346">
        <f>269247/1000</f>
        <v>269.24700000000001</v>
      </c>
      <c r="K12" s="346">
        <f>281637/1000</f>
        <v>281.637</v>
      </c>
      <c r="L12" s="346">
        <f>294380/1000</f>
        <v>294.38</v>
      </c>
      <c r="M12" s="368">
        <f>306516/1000</f>
        <v>306.51600000000002</v>
      </c>
      <c r="N12" s="216"/>
    </row>
    <row r="13" spans="1:17" s="312" customFormat="1" ht="17.45" customHeight="1" x14ac:dyDescent="0.2">
      <c r="A13" s="418" t="s">
        <v>320</v>
      </c>
      <c r="B13" s="418"/>
      <c r="C13" s="418"/>
      <c r="D13" s="418"/>
      <c r="E13" s="418"/>
      <c r="F13" s="418"/>
      <c r="G13" s="418"/>
      <c r="H13" s="418"/>
      <c r="I13" s="418"/>
      <c r="J13" s="418"/>
      <c r="K13" s="418"/>
      <c r="L13" s="418"/>
      <c r="M13" s="418"/>
      <c r="N13" s="418"/>
      <c r="O13" s="418"/>
    </row>
    <row r="14" spans="1:17" s="1" customFormat="1" ht="12.75" customHeight="1" x14ac:dyDescent="0.2">
      <c r="A14" s="340" t="s">
        <v>325</v>
      </c>
      <c r="B14" s="341"/>
      <c r="C14" s="341"/>
      <c r="D14" s="341"/>
      <c r="E14" s="341"/>
      <c r="F14" s="341"/>
      <c r="G14" s="342"/>
      <c r="H14" s="342"/>
      <c r="I14" s="342"/>
      <c r="J14" s="342"/>
      <c r="K14" s="342"/>
      <c r="P14" s="33"/>
    </row>
    <row r="15" spans="1:17" s="329" customFormat="1" ht="32.25" customHeight="1" x14ac:dyDescent="0.2">
      <c r="A15" s="417" t="s">
        <v>284</v>
      </c>
      <c r="B15" s="417"/>
      <c r="C15" s="417"/>
      <c r="D15" s="417"/>
      <c r="E15" s="417"/>
      <c r="F15" s="417"/>
      <c r="G15" s="417"/>
      <c r="H15" s="417"/>
      <c r="I15" s="417"/>
      <c r="J15" s="417"/>
      <c r="K15" s="417"/>
      <c r="L15" s="157"/>
      <c r="M15" s="157"/>
    </row>
    <row r="16" spans="1:17" ht="14.25" customHeight="1" x14ac:dyDescent="0.2"/>
    <row r="17" spans="1:6" ht="15" x14ac:dyDescent="0.25">
      <c r="A17" s="35" t="s">
        <v>254</v>
      </c>
    </row>
    <row r="18" spans="1:6" x14ac:dyDescent="0.2">
      <c r="A18" s="337" t="s">
        <v>200</v>
      </c>
    </row>
    <row r="19" spans="1:6" x14ac:dyDescent="0.2">
      <c r="F19" s="316"/>
    </row>
    <row r="39" spans="1:13" x14ac:dyDescent="0.2">
      <c r="A39" s="268"/>
    </row>
    <row r="40" spans="1:13" x14ac:dyDescent="0.2">
      <c r="A40" s="268"/>
    </row>
    <row r="43" spans="1:13" x14ac:dyDescent="0.2">
      <c r="M43" s="159"/>
    </row>
    <row r="50" spans="1:11" x14ac:dyDescent="0.2">
      <c r="A50" s="343"/>
    </row>
    <row r="55" spans="1:11" ht="12.75" customHeight="1" x14ac:dyDescent="0.2">
      <c r="A55" s="340" t="s">
        <v>325</v>
      </c>
      <c r="B55" s="341"/>
      <c r="C55" s="341"/>
      <c r="D55" s="341"/>
      <c r="E55" s="341"/>
      <c r="F55" s="341"/>
      <c r="G55" s="342"/>
      <c r="H55" s="342"/>
      <c r="I55" s="342"/>
      <c r="J55" s="342"/>
      <c r="K55" s="342"/>
    </row>
    <row r="56" spans="1:11" ht="24" customHeight="1" x14ac:dyDescent="0.2">
      <c r="A56" s="417" t="s">
        <v>284</v>
      </c>
      <c r="B56" s="417"/>
      <c r="C56" s="417"/>
      <c r="D56" s="417"/>
      <c r="E56" s="417"/>
      <c r="F56" s="417"/>
      <c r="G56" s="417"/>
      <c r="H56" s="417"/>
      <c r="I56" s="417"/>
      <c r="J56" s="417"/>
      <c r="K56" s="417"/>
    </row>
  </sheetData>
  <mergeCells count="3">
    <mergeCell ref="A13:O13"/>
    <mergeCell ref="A15:K15"/>
    <mergeCell ref="A56:K56"/>
  </mergeCells>
  <hyperlinks>
    <hyperlink ref="A3" location="Sommaire!A2" display="Retour au sommaire"/>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K52"/>
  <sheetViews>
    <sheetView showGridLines="0" workbookViewId="0">
      <selection activeCell="H4" sqref="H4"/>
    </sheetView>
  </sheetViews>
  <sheetFormatPr baseColWidth="10" defaultRowHeight="11.25" x14ac:dyDescent="0.2"/>
  <cols>
    <col min="1" max="2" width="9.7109375" style="384" customWidth="1"/>
    <col min="3" max="3" width="9.140625" style="384" bestFit="1" customWidth="1"/>
    <col min="4" max="4" width="8.85546875" style="384" bestFit="1" customWidth="1"/>
    <col min="5" max="5" width="10.85546875" style="384" customWidth="1"/>
    <col min="6" max="9" width="9.7109375" style="384" customWidth="1"/>
    <col min="10" max="10" width="13.5703125" style="384" customWidth="1"/>
    <col min="11" max="16384" width="11.42578125" style="384"/>
  </cols>
  <sheetData>
    <row r="1" spans="1:11" ht="15.75" x14ac:dyDescent="0.2">
      <c r="A1" s="52" t="s">
        <v>331</v>
      </c>
      <c r="B1" s="52"/>
      <c r="C1" s="52"/>
      <c r="D1" s="383"/>
      <c r="E1" s="383"/>
      <c r="F1" s="383"/>
      <c r="G1" s="383"/>
      <c r="H1" s="383"/>
      <c r="I1" s="383"/>
    </row>
    <row r="2" spans="1:11" ht="15.75" x14ac:dyDescent="0.2">
      <c r="A2" s="176" t="s">
        <v>200</v>
      </c>
      <c r="B2" s="40"/>
      <c r="C2" s="40"/>
      <c r="D2" s="383"/>
      <c r="E2" s="383"/>
      <c r="F2" s="383"/>
      <c r="G2" s="383"/>
      <c r="H2" s="383"/>
      <c r="I2" s="383"/>
    </row>
    <row r="3" spans="1:11" ht="15.75" x14ac:dyDescent="0.2">
      <c r="A3" s="364" t="s">
        <v>282</v>
      </c>
      <c r="B3" s="40"/>
      <c r="C3" s="40"/>
      <c r="D3" s="383"/>
      <c r="E3" s="383"/>
      <c r="F3" s="383"/>
      <c r="G3" s="383"/>
      <c r="H3" s="383"/>
      <c r="I3" s="383"/>
    </row>
    <row r="4" spans="1:11" ht="12" x14ac:dyDescent="0.2">
      <c r="A4" s="385"/>
      <c r="E4" s="386"/>
      <c r="F4" s="383"/>
      <c r="G4" s="383"/>
      <c r="H4" s="383"/>
      <c r="I4" s="383"/>
    </row>
    <row r="5" spans="1:11" s="389" customFormat="1" ht="47.25" customHeight="1" x14ac:dyDescent="0.2">
      <c r="A5" s="387"/>
      <c r="B5" s="388" t="s">
        <v>226</v>
      </c>
      <c r="C5" s="388" t="s">
        <v>227</v>
      </c>
      <c r="D5" s="388" t="s">
        <v>52</v>
      </c>
      <c r="E5" s="388" t="s">
        <v>51</v>
      </c>
      <c r="F5" s="388" t="s">
        <v>8</v>
      </c>
      <c r="H5" s="383"/>
      <c r="K5" s="384"/>
    </row>
    <row r="6" spans="1:11" s="389" customFormat="1" ht="12.75" x14ac:dyDescent="0.2">
      <c r="A6" s="390" t="s">
        <v>220</v>
      </c>
      <c r="B6" s="391">
        <v>1748291</v>
      </c>
      <c r="C6" s="391">
        <v>154001</v>
      </c>
      <c r="D6" s="391">
        <v>446912</v>
      </c>
      <c r="E6" s="391">
        <v>1902292</v>
      </c>
      <c r="F6" s="391">
        <v>2349204</v>
      </c>
      <c r="H6" s="383"/>
      <c r="K6" s="384"/>
    </row>
    <row r="7" spans="1:11" s="389" customFormat="1" ht="12.75" x14ac:dyDescent="0.2">
      <c r="A7" s="390" t="s">
        <v>221</v>
      </c>
      <c r="B7" s="391">
        <v>1766329</v>
      </c>
      <c r="C7" s="391">
        <v>157492</v>
      </c>
      <c r="D7" s="391">
        <v>461230</v>
      </c>
      <c r="E7" s="391">
        <v>1923821</v>
      </c>
      <c r="F7" s="391">
        <v>2385051</v>
      </c>
      <c r="H7" s="392"/>
      <c r="K7" s="384"/>
    </row>
    <row r="8" spans="1:11" s="389" customFormat="1" ht="12.75" x14ac:dyDescent="0.2">
      <c r="A8" s="390" t="s">
        <v>222</v>
      </c>
      <c r="B8" s="391">
        <v>1788027</v>
      </c>
      <c r="C8" s="391">
        <v>162154</v>
      </c>
      <c r="D8" s="391">
        <v>471392</v>
      </c>
      <c r="E8" s="391">
        <v>1950181</v>
      </c>
      <c r="F8" s="391">
        <v>2421573</v>
      </c>
      <c r="H8" s="392"/>
      <c r="K8" s="384"/>
    </row>
    <row r="9" spans="1:11" s="389" customFormat="1" ht="12.75" x14ac:dyDescent="0.2">
      <c r="A9" s="390" t="s">
        <v>66</v>
      </c>
      <c r="B9" s="391">
        <v>1826788</v>
      </c>
      <c r="C9" s="391">
        <v>158347</v>
      </c>
      <c r="D9" s="391">
        <v>485520</v>
      </c>
      <c r="E9" s="391">
        <v>1985135</v>
      </c>
      <c r="F9" s="391">
        <v>2470655</v>
      </c>
      <c r="H9" s="392"/>
      <c r="K9" s="384"/>
    </row>
    <row r="10" spans="1:11" s="389" customFormat="1" ht="12.75" x14ac:dyDescent="0.2">
      <c r="A10" s="390" t="s">
        <v>67</v>
      </c>
      <c r="B10" s="391">
        <v>1860790</v>
      </c>
      <c r="C10" s="391">
        <v>168863</v>
      </c>
      <c r="D10" s="391">
        <v>478150</v>
      </c>
      <c r="E10" s="391">
        <v>2029653</v>
      </c>
      <c r="F10" s="391">
        <v>2507803</v>
      </c>
      <c r="H10" s="383"/>
      <c r="K10" s="384"/>
    </row>
    <row r="11" spans="1:11" s="389" customFormat="1" ht="12.75" x14ac:dyDescent="0.2">
      <c r="A11" s="390" t="s">
        <v>81</v>
      </c>
      <c r="B11" s="391">
        <v>1909524</v>
      </c>
      <c r="C11" s="391">
        <v>168577</v>
      </c>
      <c r="D11" s="391">
        <v>491795</v>
      </c>
      <c r="E11" s="391">
        <v>2078101</v>
      </c>
      <c r="F11" s="391">
        <v>2569896</v>
      </c>
      <c r="H11" s="383"/>
      <c r="K11" s="384"/>
    </row>
    <row r="12" spans="1:11" s="389" customFormat="1" ht="12.75" x14ac:dyDescent="0.2">
      <c r="A12" s="390" t="s">
        <v>114</v>
      </c>
      <c r="B12" s="391">
        <v>1935300</v>
      </c>
      <c r="C12" s="391">
        <v>165475</v>
      </c>
      <c r="D12" s="391">
        <v>516541</v>
      </c>
      <c r="E12" s="391">
        <v>2100775</v>
      </c>
      <c r="F12" s="391">
        <v>2617316</v>
      </c>
      <c r="H12" s="392"/>
      <c r="K12" s="384"/>
    </row>
    <row r="13" spans="1:11" s="389" customFormat="1" ht="12.75" x14ac:dyDescent="0.2">
      <c r="A13" s="390" t="s">
        <v>144</v>
      </c>
      <c r="B13" s="391">
        <v>1952307</v>
      </c>
      <c r="C13" s="391">
        <v>171785</v>
      </c>
      <c r="D13" s="391">
        <v>565717</v>
      </c>
      <c r="E13" s="391">
        <v>2124092</v>
      </c>
      <c r="F13" s="391">
        <v>2689809</v>
      </c>
      <c r="H13" s="392"/>
      <c r="K13" s="384"/>
    </row>
    <row r="14" spans="1:11" s="389" customFormat="1" ht="12.75" x14ac:dyDescent="0.2">
      <c r="A14" s="390" t="s">
        <v>145</v>
      </c>
      <c r="B14" s="391">
        <v>1989392</v>
      </c>
      <c r="C14" s="391">
        <v>175056</v>
      </c>
      <c r="D14" s="391">
        <v>590138</v>
      </c>
      <c r="E14" s="391">
        <v>2164448</v>
      </c>
      <c r="F14" s="391">
        <v>2754586</v>
      </c>
      <c r="I14" s="392"/>
    </row>
    <row r="15" spans="1:11" s="389" customFormat="1" ht="12.75" x14ac:dyDescent="0.2">
      <c r="A15" s="390" t="s">
        <v>223</v>
      </c>
      <c r="B15" s="391">
        <v>2011601</v>
      </c>
      <c r="C15" s="391">
        <v>178156</v>
      </c>
      <c r="D15" s="391">
        <v>617245</v>
      </c>
      <c r="E15" s="391">
        <v>2189757</v>
      </c>
      <c r="F15" s="391">
        <v>2807002</v>
      </c>
      <c r="I15" s="392"/>
    </row>
    <row r="16" spans="1:11" s="389" customFormat="1" ht="12.75" x14ac:dyDescent="0.2">
      <c r="A16" s="281" t="s">
        <v>224</v>
      </c>
      <c r="B16" s="393">
        <v>2040945</v>
      </c>
      <c r="C16" s="393">
        <v>184445</v>
      </c>
      <c r="D16" s="393">
        <v>670104</v>
      </c>
      <c r="E16" s="393">
        <v>2225390</v>
      </c>
      <c r="F16" s="393">
        <v>2895494</v>
      </c>
      <c r="I16" s="392"/>
    </row>
    <row r="17" spans="1:11" s="389" customFormat="1" ht="12.75" x14ac:dyDescent="0.2">
      <c r="A17" s="281" t="s">
        <v>225</v>
      </c>
      <c r="B17" s="394">
        <v>2044709</v>
      </c>
      <c r="C17" s="394">
        <v>192381</v>
      </c>
      <c r="D17" s="394">
        <v>742073</v>
      </c>
      <c r="E17" s="394">
        <v>2237090</v>
      </c>
      <c r="F17" s="394">
        <v>2979163</v>
      </c>
      <c r="I17" s="392"/>
    </row>
    <row r="18" spans="1:11" s="389" customFormat="1" ht="12.75" x14ac:dyDescent="0.2">
      <c r="A18" s="281" t="s">
        <v>291</v>
      </c>
      <c r="B18" s="394">
        <v>1976877</v>
      </c>
      <c r="C18" s="394">
        <v>191546</v>
      </c>
      <c r="D18" s="394">
        <v>766874</v>
      </c>
      <c r="E18" s="394">
        <v>2168423</v>
      </c>
      <c r="F18" s="394">
        <v>2935297</v>
      </c>
      <c r="I18" s="392"/>
    </row>
    <row r="19" spans="1:11" ht="15.75" customHeight="1" x14ac:dyDescent="0.2">
      <c r="A19" s="340" t="s">
        <v>325</v>
      </c>
      <c r="B19" s="341"/>
      <c r="C19" s="341"/>
      <c r="D19" s="341"/>
      <c r="E19" s="383"/>
      <c r="F19" s="389"/>
      <c r="G19" s="389"/>
      <c r="H19" s="342"/>
      <c r="I19" s="342"/>
    </row>
    <row r="20" spans="1:11" ht="43.5" customHeight="1" x14ac:dyDescent="0.2">
      <c r="A20" s="417" t="s">
        <v>284</v>
      </c>
      <c r="B20" s="417"/>
      <c r="C20" s="417"/>
      <c r="D20" s="417"/>
      <c r="E20" s="417"/>
      <c r="F20" s="417"/>
      <c r="G20" s="417"/>
      <c r="H20" s="417"/>
      <c r="I20" s="417"/>
    </row>
    <row r="21" spans="1:11" x14ac:dyDescent="0.2">
      <c r="I21" s="391"/>
    </row>
    <row r="22" spans="1:11" s="389" customFormat="1" ht="45" customHeight="1" x14ac:dyDescent="0.2">
      <c r="A22" s="419" t="s">
        <v>341</v>
      </c>
      <c r="B22" s="419"/>
      <c r="C22" s="419"/>
      <c r="D22" s="419"/>
      <c r="E22" s="419"/>
      <c r="F22" s="419"/>
      <c r="G22" s="419"/>
      <c r="H22" s="419"/>
      <c r="I22" s="419"/>
    </row>
    <row r="23" spans="1:11" s="389" customFormat="1" ht="10.5" customHeight="1" x14ac:dyDescent="0.2">
      <c r="A23" s="187" t="s">
        <v>200</v>
      </c>
      <c r="B23" s="381"/>
      <c r="C23" s="381"/>
      <c r="D23" s="381"/>
      <c r="E23" s="381"/>
      <c r="F23" s="381"/>
      <c r="G23" s="381"/>
      <c r="H23" s="381"/>
      <c r="I23" s="381"/>
    </row>
    <row r="24" spans="1:11" s="389" customFormat="1" ht="12.75" x14ac:dyDescent="0.2">
      <c r="K24" s="395"/>
    </row>
    <row r="25" spans="1:11" s="389" customFormat="1" ht="12.75" x14ac:dyDescent="0.2"/>
    <row r="26" spans="1:11" s="389" customFormat="1" ht="12.75" x14ac:dyDescent="0.2"/>
    <row r="27" spans="1:11" s="389" customFormat="1" ht="12.75" x14ac:dyDescent="0.2"/>
    <row r="28" spans="1:11" s="389" customFormat="1" ht="12.75" x14ac:dyDescent="0.2"/>
    <row r="29" spans="1:11" s="389" customFormat="1" ht="12.75" x14ac:dyDescent="0.2"/>
    <row r="30" spans="1:11" s="389" customFormat="1" ht="12.75" x14ac:dyDescent="0.2"/>
    <row r="31" spans="1:11" s="389" customFormat="1" ht="12.75" x14ac:dyDescent="0.2"/>
    <row r="32" spans="1:11" s="389" customFormat="1" ht="12.75" x14ac:dyDescent="0.2"/>
    <row r="33" s="389" customFormat="1" ht="12.75" x14ac:dyDescent="0.2"/>
    <row r="34" s="389" customFormat="1" ht="12.75" x14ac:dyDescent="0.2"/>
    <row r="35" s="389" customFormat="1" ht="12.75" x14ac:dyDescent="0.2"/>
    <row r="36" s="389" customFormat="1" ht="12.75" x14ac:dyDescent="0.2"/>
    <row r="37" s="389" customFormat="1" ht="12.75" x14ac:dyDescent="0.2"/>
    <row r="38" s="389" customFormat="1" ht="12.75" x14ac:dyDescent="0.2"/>
    <row r="39" s="389" customFormat="1" ht="12.75" x14ac:dyDescent="0.2"/>
    <row r="40" s="389" customFormat="1" ht="12.75" x14ac:dyDescent="0.2"/>
    <row r="41" s="389" customFormat="1" ht="12.75" x14ac:dyDescent="0.2"/>
    <row r="42" s="389" customFormat="1" ht="12.75" x14ac:dyDescent="0.2"/>
    <row r="43" s="389" customFormat="1" ht="12.75" x14ac:dyDescent="0.2"/>
    <row r="44" s="389" customFormat="1" ht="12.75" x14ac:dyDescent="0.2"/>
    <row r="45" s="389" customFormat="1" ht="12.75" x14ac:dyDescent="0.2"/>
    <row r="46" s="389" customFormat="1" ht="12.75" x14ac:dyDescent="0.2"/>
    <row r="47" s="389" customFormat="1" ht="12.75" x14ac:dyDescent="0.2"/>
    <row r="48" s="389" customFormat="1" ht="13.5" customHeight="1" x14ac:dyDescent="0.2"/>
    <row r="49" spans="1:11" ht="19.5" customHeight="1" x14ac:dyDescent="0.2">
      <c r="A49" s="396" t="s">
        <v>228</v>
      </c>
      <c r="B49" s="380"/>
      <c r="C49" s="380"/>
      <c r="D49" s="380"/>
      <c r="E49" s="396"/>
      <c r="F49" s="396"/>
      <c r="G49" s="396"/>
      <c r="H49" s="396"/>
      <c r="I49" s="396"/>
      <c r="J49" s="396"/>
      <c r="K49" s="396"/>
    </row>
    <row r="50" spans="1:11" ht="24.75" customHeight="1" x14ac:dyDescent="0.2">
      <c r="A50" s="420" t="s">
        <v>334</v>
      </c>
      <c r="B50" s="420"/>
      <c r="C50" s="420"/>
      <c r="D50" s="420"/>
      <c r="E50" s="420"/>
      <c r="F50" s="420"/>
      <c r="G50" s="420"/>
      <c r="H50" s="420"/>
      <c r="I50" s="420"/>
      <c r="J50" s="420"/>
      <c r="K50" s="420"/>
    </row>
    <row r="51" spans="1:11" ht="12.75" x14ac:dyDescent="0.2">
      <c r="A51" s="340" t="s">
        <v>325</v>
      </c>
      <c r="B51" s="341"/>
      <c r="C51" s="341"/>
      <c r="D51" s="341"/>
      <c r="E51" s="342"/>
      <c r="F51" s="342"/>
      <c r="G51" s="342"/>
      <c r="H51" s="342"/>
      <c r="I51" s="342"/>
    </row>
    <row r="52" spans="1:11" ht="45.75" customHeight="1" x14ac:dyDescent="0.2">
      <c r="A52" s="417" t="s">
        <v>284</v>
      </c>
      <c r="B52" s="417"/>
      <c r="C52" s="417"/>
      <c r="D52" s="417"/>
      <c r="E52" s="417"/>
      <c r="F52" s="417"/>
      <c r="G52" s="417"/>
      <c r="H52" s="417"/>
      <c r="I52" s="417"/>
    </row>
  </sheetData>
  <mergeCells count="4">
    <mergeCell ref="A20:I20"/>
    <mergeCell ref="A22:I22"/>
    <mergeCell ref="A50:K50"/>
    <mergeCell ref="A52:I52"/>
  </mergeCells>
  <hyperlinks>
    <hyperlink ref="A3" location="Sommaire!A2" display="Retour au sommaire"/>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M52"/>
  <sheetViews>
    <sheetView showGridLines="0" topLeftCell="A19" zoomScaleNormal="100" workbookViewId="0">
      <selection activeCell="C54" sqref="C54"/>
    </sheetView>
  </sheetViews>
  <sheetFormatPr baseColWidth="10" defaultRowHeight="11.25" x14ac:dyDescent="0.2"/>
  <cols>
    <col min="1" max="4" width="9.7109375" style="29" customWidth="1"/>
    <col min="5" max="5" width="7.7109375" style="29" customWidth="1"/>
    <col min="6" max="6" width="8.85546875" style="29" bestFit="1" customWidth="1"/>
    <col min="7" max="7" width="10.85546875" style="29" customWidth="1"/>
    <col min="8" max="11" width="9.7109375" style="29" customWidth="1"/>
    <col min="12" max="12" width="13.5703125" style="29" customWidth="1"/>
    <col min="13" max="16384" width="11.42578125" style="29"/>
  </cols>
  <sheetData>
    <row r="1" spans="1:11" ht="15.75" x14ac:dyDescent="0.2">
      <c r="A1" s="52" t="s">
        <v>332</v>
      </c>
      <c r="B1" s="52"/>
      <c r="C1" s="52"/>
      <c r="D1" s="52"/>
      <c r="E1" s="52"/>
      <c r="F1" s="28"/>
      <c r="G1" s="28"/>
      <c r="H1" s="28"/>
      <c r="I1" s="28"/>
      <c r="J1" s="28"/>
      <c r="K1" s="28"/>
    </row>
    <row r="2" spans="1:11" ht="15.75" x14ac:dyDescent="0.2">
      <c r="A2" s="176" t="s">
        <v>200</v>
      </c>
      <c r="B2" s="176"/>
      <c r="C2" s="176"/>
      <c r="D2" s="40"/>
      <c r="E2" s="40"/>
      <c r="F2" s="28"/>
      <c r="G2" s="28"/>
      <c r="H2" s="28"/>
      <c r="I2" s="28"/>
      <c r="J2" s="28"/>
      <c r="K2" s="28"/>
    </row>
    <row r="3" spans="1:11" ht="15.75" x14ac:dyDescent="0.2">
      <c r="A3" s="364" t="s">
        <v>282</v>
      </c>
      <c r="B3" s="364"/>
      <c r="C3" s="364"/>
      <c r="D3" s="40"/>
      <c r="E3" s="40"/>
      <c r="F3" s="28"/>
      <c r="G3" s="28"/>
      <c r="H3" s="28"/>
      <c r="I3" s="28"/>
      <c r="J3" s="28"/>
      <c r="K3" s="28"/>
    </row>
    <row r="4" spans="1:11" ht="12" x14ac:dyDescent="0.2">
      <c r="A4" s="30"/>
      <c r="B4" s="30"/>
      <c r="C4" s="30"/>
      <c r="G4" s="32"/>
      <c r="H4" s="28"/>
      <c r="I4" s="28"/>
      <c r="J4" s="28"/>
      <c r="K4" s="28"/>
    </row>
    <row r="5" spans="1:11" s="31" customFormat="1" ht="47.25" customHeight="1" x14ac:dyDescent="0.2">
      <c r="A5" s="79"/>
      <c r="B5" s="382" t="s">
        <v>226</v>
      </c>
      <c r="C5" s="382" t="s">
        <v>227</v>
      </c>
      <c r="D5" s="80" t="s">
        <v>52</v>
      </c>
      <c r="E5" s="80" t="s">
        <v>51</v>
      </c>
      <c r="F5" s="80" t="s">
        <v>8</v>
      </c>
      <c r="G5" s="28"/>
      <c r="J5" s="29"/>
      <c r="K5" s="28"/>
    </row>
    <row r="6" spans="1:11" s="31" customFormat="1" ht="12.75" x14ac:dyDescent="0.2">
      <c r="A6" s="55" t="s">
        <v>220</v>
      </c>
      <c r="B6" s="56">
        <v>100</v>
      </c>
      <c r="C6" s="56">
        <v>100</v>
      </c>
      <c r="D6" s="56">
        <v>100</v>
      </c>
      <c r="E6" s="56">
        <v>100</v>
      </c>
      <c r="F6" s="56">
        <v>100</v>
      </c>
      <c r="G6" s="28"/>
      <c r="J6" s="29"/>
      <c r="K6" s="28"/>
    </row>
    <row r="7" spans="1:11" s="31" customFormat="1" ht="12.75" x14ac:dyDescent="0.2">
      <c r="A7" s="55" t="s">
        <v>221</v>
      </c>
      <c r="B7" s="56">
        <v>101.03175043513923</v>
      </c>
      <c r="C7" s="56">
        <v>102.26686839695846</v>
      </c>
      <c r="D7" s="56">
        <v>103.2037627094372</v>
      </c>
      <c r="E7" s="56">
        <v>101.13174002729339</v>
      </c>
      <c r="F7" s="56">
        <v>101.52592112051572</v>
      </c>
      <c r="G7" s="68"/>
      <c r="J7" s="29"/>
      <c r="K7" s="68"/>
    </row>
    <row r="8" spans="1:11" s="31" customFormat="1" ht="12.75" x14ac:dyDescent="0.2">
      <c r="A8" s="55" t="s">
        <v>222</v>
      </c>
      <c r="B8" s="56">
        <v>102.27284817001289</v>
      </c>
      <c r="C8" s="56">
        <v>105.29412146674372</v>
      </c>
      <c r="D8" s="56">
        <v>105.47758842904196</v>
      </c>
      <c r="E8" s="56">
        <v>102.51743686037685</v>
      </c>
      <c r="F8" s="56">
        <v>103.08057537787268</v>
      </c>
      <c r="G8" s="68"/>
      <c r="J8" s="29"/>
      <c r="K8" s="68"/>
    </row>
    <row r="9" spans="1:11" s="31" customFormat="1" ht="12.75" x14ac:dyDescent="0.2">
      <c r="A9" s="55" t="s">
        <v>66</v>
      </c>
      <c r="B9" s="56">
        <v>104.4899275921457</v>
      </c>
      <c r="C9" s="56">
        <v>102.82205959701561</v>
      </c>
      <c r="D9" s="56">
        <v>108.63883717599886</v>
      </c>
      <c r="E9" s="56">
        <v>104.35490450467121</v>
      </c>
      <c r="F9" s="56">
        <v>105.16987881852747</v>
      </c>
      <c r="G9" s="68"/>
      <c r="J9" s="29"/>
      <c r="K9" s="68"/>
    </row>
    <row r="10" spans="1:11" s="31" customFormat="1" ht="12.75" x14ac:dyDescent="0.2">
      <c r="A10" s="55" t="s">
        <v>67</v>
      </c>
      <c r="B10" s="56">
        <v>106.43479832590799</v>
      </c>
      <c r="C10" s="56">
        <v>109.65058668450204</v>
      </c>
      <c r="D10" s="56">
        <v>106.98974294715738</v>
      </c>
      <c r="E10" s="56">
        <v>106.69513408036201</v>
      </c>
      <c r="F10" s="56">
        <v>106.75118039982905</v>
      </c>
      <c r="G10" s="68"/>
      <c r="J10" s="29"/>
      <c r="K10" s="68"/>
    </row>
    <row r="11" spans="1:11" s="31" customFormat="1" ht="12.75" x14ac:dyDescent="0.2">
      <c r="A11" s="55" t="s">
        <v>81</v>
      </c>
      <c r="B11" s="56">
        <v>109.22232054045922</v>
      </c>
      <c r="C11" s="56">
        <v>109.46487360471686</v>
      </c>
      <c r="D11" s="56">
        <v>110.04291672633539</v>
      </c>
      <c r="E11" s="56">
        <v>109.24195654505196</v>
      </c>
      <c r="F11" s="56">
        <v>109.39433101595263</v>
      </c>
      <c r="G11" s="68"/>
      <c r="J11" s="29"/>
      <c r="K11" s="68"/>
    </row>
    <row r="12" spans="1:11" s="31" customFormat="1" ht="12.75" x14ac:dyDescent="0.2">
      <c r="A12" s="55" t="s">
        <v>114</v>
      </c>
      <c r="B12" s="56">
        <v>110.69667463826102</v>
      </c>
      <c r="C12" s="56">
        <v>107.45060097012357</v>
      </c>
      <c r="D12" s="56">
        <v>115.58002470284978</v>
      </c>
      <c r="E12" s="56">
        <v>110.43388712143036</v>
      </c>
      <c r="F12" s="56">
        <v>111.41288708856277</v>
      </c>
      <c r="G12" s="68"/>
      <c r="J12" s="29"/>
      <c r="K12" s="68"/>
    </row>
    <row r="13" spans="1:11" s="31" customFormat="1" ht="12.75" x14ac:dyDescent="0.2">
      <c r="A13" s="55" t="s">
        <v>144</v>
      </c>
      <c r="B13" s="56">
        <v>111.66945319743681</v>
      </c>
      <c r="C13" s="56">
        <v>111.54797696118857</v>
      </c>
      <c r="D13" s="56">
        <v>126.58353322354289</v>
      </c>
      <c r="E13" s="56">
        <v>111.6596190279936</v>
      </c>
      <c r="F13" s="56">
        <v>114.4987408500922</v>
      </c>
      <c r="G13" s="68"/>
      <c r="J13" s="29"/>
      <c r="K13" s="68"/>
    </row>
    <row r="14" spans="1:11" s="31" customFormat="1" ht="12.75" x14ac:dyDescent="0.2">
      <c r="A14" s="55" t="s">
        <v>145</v>
      </c>
      <c r="B14" s="56">
        <v>113.79066757193168</v>
      </c>
      <c r="C14" s="56">
        <v>113.67198914292764</v>
      </c>
      <c r="D14" s="56">
        <v>132.04791994844624</v>
      </c>
      <c r="E14" s="56">
        <v>113.78105990037281</v>
      </c>
      <c r="F14" s="56">
        <v>117.2561429318186</v>
      </c>
      <c r="G14" s="68"/>
      <c r="K14" s="68"/>
    </row>
    <row r="15" spans="1:11" s="31" customFormat="1" ht="12.75" x14ac:dyDescent="0.2">
      <c r="A15" s="55" t="s">
        <v>223</v>
      </c>
      <c r="B15" s="56">
        <v>115.06099385056606</v>
      </c>
      <c r="C15" s="56">
        <v>115.68496308465529</v>
      </c>
      <c r="D15" s="56">
        <v>138.11331984820279</v>
      </c>
      <c r="E15" s="56">
        <v>115.11150759189441</v>
      </c>
      <c r="F15" s="56">
        <v>119.48736678466408</v>
      </c>
      <c r="G15" s="68"/>
      <c r="K15" s="68"/>
    </row>
    <row r="16" spans="1:11" s="31" customFormat="1" ht="12.75" x14ac:dyDescent="0.2">
      <c r="A16" s="281" t="s">
        <v>224</v>
      </c>
      <c r="B16" s="56">
        <v>116.73943296625104</v>
      </c>
      <c r="C16" s="56">
        <v>119.76870280063116</v>
      </c>
      <c r="D16" s="56">
        <v>149.94092796792211</v>
      </c>
      <c r="E16" s="56">
        <v>116.98466902031865</v>
      </c>
      <c r="F16" s="56">
        <v>123.25425974074622</v>
      </c>
      <c r="G16" s="68"/>
      <c r="K16" s="68"/>
    </row>
    <row r="17" spans="1:13" s="31" customFormat="1" ht="12.75" x14ac:dyDescent="0.2">
      <c r="A17" s="281" t="s">
        <v>225</v>
      </c>
      <c r="B17" s="56">
        <v>116.95472893242601</v>
      </c>
      <c r="C17" s="56">
        <v>124.92191609145395</v>
      </c>
      <c r="D17" s="56">
        <v>166.04454568237148</v>
      </c>
      <c r="E17" s="56">
        <v>117.59971655245357</v>
      </c>
      <c r="F17" s="56">
        <v>126.81584911314641</v>
      </c>
      <c r="G17" s="68"/>
      <c r="K17" s="68"/>
    </row>
    <row r="18" spans="1:13" s="31" customFormat="1" ht="13.5" thickBot="1" x14ac:dyDescent="0.25">
      <c r="A18" s="57" t="s">
        <v>291</v>
      </c>
      <c r="B18" s="58">
        <v>113.07482564401464</v>
      </c>
      <c r="C18" s="58">
        <v>124.37971182005312</v>
      </c>
      <c r="D18" s="58">
        <v>171.59396033223544</v>
      </c>
      <c r="E18" s="58">
        <v>113.99001835680326</v>
      </c>
      <c r="F18" s="58">
        <v>124.94857832695671</v>
      </c>
      <c r="G18" s="28"/>
      <c r="K18" s="68"/>
    </row>
    <row r="19" spans="1:13" ht="15.75" customHeight="1" x14ac:dyDescent="0.2">
      <c r="A19" s="283" t="s">
        <v>325</v>
      </c>
      <c r="B19" s="283"/>
      <c r="C19" s="283"/>
      <c r="D19" s="178"/>
      <c r="E19" s="178"/>
      <c r="F19" s="178"/>
      <c r="G19" s="28"/>
      <c r="H19" s="31"/>
      <c r="I19" s="31"/>
      <c r="J19" s="177"/>
      <c r="K19" s="177"/>
    </row>
    <row r="20" spans="1:13" ht="43.5" customHeight="1" x14ac:dyDescent="0.2">
      <c r="A20" s="417" t="s">
        <v>284</v>
      </c>
      <c r="B20" s="417"/>
      <c r="C20" s="417"/>
      <c r="D20" s="417"/>
      <c r="E20" s="417"/>
      <c r="F20" s="417"/>
      <c r="G20" s="417"/>
      <c r="H20" s="417"/>
      <c r="I20" s="417"/>
      <c r="J20" s="417"/>
      <c r="K20" s="417"/>
    </row>
    <row r="21" spans="1:13" x14ac:dyDescent="0.2">
      <c r="K21" s="54"/>
    </row>
    <row r="22" spans="1:13" s="31" customFormat="1" ht="45" customHeight="1" x14ac:dyDescent="0.2">
      <c r="A22" s="419" t="s">
        <v>333</v>
      </c>
      <c r="B22" s="419"/>
      <c r="C22" s="419"/>
      <c r="D22" s="419"/>
      <c r="E22" s="419"/>
      <c r="F22" s="419"/>
      <c r="G22" s="419"/>
      <c r="H22" s="419"/>
      <c r="I22" s="419"/>
      <c r="J22" s="419"/>
      <c r="K22" s="419"/>
    </row>
    <row r="23" spans="1:13" s="31" customFormat="1" ht="10.5" customHeight="1" x14ac:dyDescent="0.2">
      <c r="A23" s="187" t="s">
        <v>200</v>
      </c>
      <c r="B23" s="187"/>
      <c r="C23" s="187"/>
      <c r="D23" s="279"/>
      <c r="E23" s="279"/>
      <c r="F23" s="279"/>
      <c r="G23" s="279"/>
      <c r="H23" s="279"/>
      <c r="I23" s="279"/>
      <c r="J23" s="279"/>
      <c r="K23" s="279"/>
    </row>
    <row r="24" spans="1:13" s="31" customFormat="1" ht="12.75" x14ac:dyDescent="0.2">
      <c r="M24" s="34"/>
    </row>
    <row r="25" spans="1:13" s="31" customFormat="1" ht="12.75" x14ac:dyDescent="0.2"/>
    <row r="26" spans="1:13" s="31" customFormat="1" ht="12.75" x14ac:dyDescent="0.2"/>
    <row r="27" spans="1:13" s="31" customFormat="1" ht="12.75" x14ac:dyDescent="0.2"/>
    <row r="28" spans="1:13" s="31" customFormat="1" ht="12.75" x14ac:dyDescent="0.2"/>
    <row r="29" spans="1:13" s="31" customFormat="1" ht="12.75" x14ac:dyDescent="0.2"/>
    <row r="30" spans="1:13" s="31" customFormat="1" ht="12.75" x14ac:dyDescent="0.2"/>
    <row r="31" spans="1:13" s="31" customFormat="1" ht="12.75" x14ac:dyDescent="0.2"/>
    <row r="32" spans="1:13" s="31" customFormat="1" ht="12.75" x14ac:dyDescent="0.2"/>
    <row r="33" s="31" customFormat="1" ht="12.75" x14ac:dyDescent="0.2"/>
    <row r="34" s="31" customFormat="1" ht="12.75" x14ac:dyDescent="0.2"/>
    <row r="35" s="31" customFormat="1" ht="12.75" x14ac:dyDescent="0.2"/>
    <row r="36" s="31" customFormat="1" ht="12.75" x14ac:dyDescent="0.2"/>
    <row r="37" s="31" customFormat="1" ht="12.75" x14ac:dyDescent="0.2"/>
    <row r="38" s="31" customFormat="1" ht="12.75" x14ac:dyDescent="0.2"/>
    <row r="39" s="31" customFormat="1" ht="12.75" x14ac:dyDescent="0.2"/>
    <row r="40" s="31" customFormat="1" ht="12.75" x14ac:dyDescent="0.2"/>
    <row r="41" s="31" customFormat="1" ht="12.75" x14ac:dyDescent="0.2"/>
    <row r="42" s="31" customFormat="1" ht="12.75" x14ac:dyDescent="0.2"/>
    <row r="43" s="31" customFormat="1" ht="12.75" x14ac:dyDescent="0.2"/>
    <row r="44" s="31" customFormat="1" ht="12.75" x14ac:dyDescent="0.2"/>
    <row r="45" s="31" customFormat="1" ht="12.75" x14ac:dyDescent="0.2"/>
    <row r="46" s="31" customFormat="1" ht="12.75" x14ac:dyDescent="0.2"/>
    <row r="47" s="31" customFormat="1" ht="12.75" x14ac:dyDescent="0.2"/>
    <row r="48" s="31" customFormat="1" ht="13.5" customHeight="1" x14ac:dyDescent="0.2"/>
    <row r="49" spans="1:13" ht="19.5" customHeight="1" x14ac:dyDescent="0.2">
      <c r="A49" s="282" t="s">
        <v>228</v>
      </c>
      <c r="B49" s="282"/>
      <c r="C49" s="282"/>
      <c r="D49" s="275"/>
      <c r="E49" s="275"/>
      <c r="F49" s="275"/>
      <c r="G49" s="282"/>
      <c r="H49" s="282"/>
      <c r="I49" s="282"/>
      <c r="J49" s="282"/>
      <c r="K49" s="282"/>
      <c r="L49" s="282"/>
      <c r="M49" s="282"/>
    </row>
    <row r="50" spans="1:13" ht="24.75" customHeight="1" x14ac:dyDescent="0.2">
      <c r="A50" s="421" t="s">
        <v>310</v>
      </c>
      <c r="B50" s="421"/>
      <c r="C50" s="421"/>
      <c r="D50" s="421"/>
      <c r="E50" s="421"/>
      <c r="F50" s="421"/>
      <c r="G50" s="421"/>
      <c r="H50" s="421"/>
      <c r="I50" s="421"/>
      <c r="J50" s="421"/>
      <c r="K50" s="421"/>
      <c r="L50" s="421"/>
      <c r="M50" s="421"/>
    </row>
    <row r="51" spans="1:13" ht="12.75" x14ac:dyDescent="0.2">
      <c r="A51" s="283" t="s">
        <v>325</v>
      </c>
      <c r="B51" s="283"/>
      <c r="C51" s="283"/>
      <c r="D51" s="178"/>
      <c r="E51" s="178"/>
      <c r="F51" s="178"/>
      <c r="G51" s="177"/>
      <c r="H51" s="177"/>
      <c r="I51" s="177"/>
      <c r="J51" s="177"/>
      <c r="K51" s="177"/>
    </row>
    <row r="52" spans="1:13" ht="45.75" customHeight="1" x14ac:dyDescent="0.2">
      <c r="A52" s="417" t="s">
        <v>284</v>
      </c>
      <c r="B52" s="417"/>
      <c r="C52" s="417"/>
      <c r="D52" s="417"/>
      <c r="E52" s="417"/>
      <c r="F52" s="417"/>
      <c r="G52" s="417"/>
      <c r="H52" s="417"/>
      <c r="I52" s="417"/>
      <c r="J52" s="417"/>
      <c r="K52" s="417"/>
    </row>
  </sheetData>
  <mergeCells count="4">
    <mergeCell ref="A22:K22"/>
    <mergeCell ref="A52:K52"/>
    <mergeCell ref="A20:K20"/>
    <mergeCell ref="A50:M50"/>
  </mergeCells>
  <hyperlinks>
    <hyperlink ref="A3" location="Sommaire!A2" display="Retour au sommaire"/>
  </hyperlinks>
  <pageMargins left="0.78740157499999996" right="0.78740157499999996" top="0.984251969" bottom="0.984251969" header="0.4921259845" footer="0.4921259845"/>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17</vt:i4>
      </vt:variant>
      <vt:variant>
        <vt:lpstr>Plages nommées</vt:lpstr>
      </vt:variant>
      <vt:variant>
        <vt:i4>1</vt:i4>
      </vt:variant>
    </vt:vector>
  </HeadingPairs>
  <TitlesOfParts>
    <vt:vector size="18" baseType="lpstr">
      <vt:lpstr>Sommaire</vt:lpstr>
      <vt:lpstr>Tableau 1</vt:lpstr>
      <vt:lpstr>Tableau 2</vt:lpstr>
      <vt:lpstr>Tableau 3</vt:lpstr>
      <vt:lpstr>Cartes</vt:lpstr>
      <vt:lpstr>Graphique 1</vt:lpstr>
      <vt:lpstr>Graphique 2</vt:lpstr>
      <vt:lpstr>Graphique 3</vt:lpstr>
      <vt:lpstr>Graphique 4</vt:lpstr>
      <vt:lpstr>Graphique 5</vt:lpstr>
      <vt:lpstr>Graphique 6</vt:lpstr>
      <vt:lpstr>Graphique 7</vt:lpstr>
      <vt:lpstr>Graphique 8</vt:lpstr>
      <vt:lpstr>Annexe 1</vt:lpstr>
      <vt:lpstr>Annexe 2</vt:lpstr>
      <vt:lpstr>Annexe 3</vt:lpstr>
      <vt:lpstr>Annexe 4</vt:lpstr>
      <vt:lpstr>'Graphique 6'!Zone_d_impression</vt:lpstr>
    </vt:vector>
  </TitlesOfParts>
  <Company>MEN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MEN</dc:creator>
  <cp:lastModifiedBy>Administration centrale</cp:lastModifiedBy>
  <cp:lastPrinted>2021-10-07T12:35:31Z</cp:lastPrinted>
  <dcterms:created xsi:type="dcterms:W3CDTF">2002-09-18T09:28:56Z</dcterms:created>
  <dcterms:modified xsi:type="dcterms:W3CDTF">2023-12-18T16:46:10Z</dcterms:modified>
</cp:coreProperties>
</file>