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  <Override PartName="/xl/drawings/drawing1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Default Extension="jpeg" ContentType="image/jpeg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drawings/drawing1.xml" ContentType="application/vnd.openxmlformats-officedocument.drawing+xml"/>
  <Override PartName="/xl/externalLinks/externalLink11.xml" ContentType="application/vnd.openxmlformats-officedocument.spreadsheetml.externalLink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2" yWindow="4248" windowWidth="23256" windowHeight="4260" tabRatio="868"/>
  </bookViews>
  <sheets>
    <sheet name="PG_0" sheetId="138" r:id="rId1"/>
    <sheet name="TAB S-1 sync et fil" sheetId="103" r:id="rId2"/>
    <sheet name="TAB S-2 sync" sheetId="104" r:id="rId3"/>
    <sheet name="TAB S-3 fil eau" sheetId="105" r:id="rId4"/>
    <sheet name="TAB S-4 étabs" sheetId="134" r:id="rId5"/>
    <sheet name="TAB S-5 cand pr mcf" sheetId="131" r:id="rId6"/>
    <sheet name="tab S-5a cand nommés" sheetId="132" r:id="rId7"/>
    <sheet name="tab S-5b cand nommés sect" sheetId="133" r:id="rId8"/>
    <sheet name="PG_D&amp;M" sheetId="82" r:id="rId9"/>
    <sheet name="TAB I det mut" sheetId="106" r:id="rId10"/>
    <sheet name="TAB I-a mcf 26-I-1" sheetId="145" r:id="rId11"/>
    <sheet name="TAB I-b pr 46-1" sheetId="111" r:id="rId12"/>
    <sheet name="TAB I-c pr 51" sheetId="112" r:id="rId13"/>
    <sheet name="TAB I-d pr geo" sheetId="113" r:id="rId14"/>
    <sheet name="TAB I-e mcf geo" sheetId="146" r:id="rId15"/>
    <sheet name="TAB I-f pr+mcf geo" sheetId="115" r:id="rId16"/>
    <sheet name="TAB I-g solde mut" sheetId="116" r:id="rId17"/>
    <sheet name="PG_REC" sheetId="91" r:id="rId18"/>
    <sheet name="TAB II taux couv global" sheetId="118" r:id="rId19"/>
    <sheet name="TAB II-a taux couv sections" sheetId="119" r:id="rId20"/>
    <sheet name="TAB II-b taux couv qualif" sheetId="120" r:id="rId21"/>
    <sheet name="TAB II-c ratios qualif post" sheetId="121" r:id="rId22"/>
    <sheet name="PG_REC_PR" sheetId="88" r:id="rId23"/>
    <sheet name="TAB III-a pr 46-1" sheetId="122" r:id="rId24"/>
    <sheet name="TAB III-b pr 46-3" sheetId="36" r:id="rId25"/>
    <sheet name="TAB III-c pr 46-4" sheetId="123" r:id="rId26"/>
    <sheet name="TAB III-d pr mcf geo" sheetId="117" r:id="rId27"/>
    <sheet name="TAB III-e pr agreg ext" sheetId="52" r:id="rId28"/>
    <sheet name="TAB III-f pr bilan qualif" sheetId="128" r:id="rId29"/>
    <sheet name="TAB III-g pr qualif sexe" sheetId="79" r:id="rId30"/>
    <sheet name="TAB III-h pr qualif nommé" sheetId="129" r:id="rId31"/>
    <sheet name="TAB III-i pr réussite qualif" sheetId="130" r:id="rId32"/>
    <sheet name="PG_REC_MCF" sheetId="87" r:id="rId33"/>
    <sheet name="TAB IV-a mcf 26-I-1" sheetId="147" r:id="rId34"/>
    <sheet name="TAB IV-b mcf 26-I-2 et 26-I-3" sheetId="148" r:id="rId35"/>
    <sheet name="TAB IV-c mcf bilan qualif" sheetId="151" r:id="rId36"/>
    <sheet name="TAB IV-d mcf qualif sexe" sheetId="152" r:id="rId37"/>
    <sheet name="TAB IV-e mcf qualif nommé" sheetId="153" r:id="rId38"/>
    <sheet name="TAB IV-f mcf réussite qualif" sheetId="154" r:id="rId39"/>
    <sheet name="TAB IV-g mcf attractivité" sheetId="159" r:id="rId40"/>
    <sheet name="PG_REC_NON_POURVUS" sheetId="86" r:id="rId41"/>
    <sheet name="TAB V bilan non pourvus" sheetId="34" r:id="rId42"/>
    <sheet name="TAB V-a mcf 26-I-1" sheetId="155" r:id="rId43"/>
    <sheet name="TAB V-b pr 46-1" sheetId="14" r:id="rId44"/>
    <sheet name="TAB V-c pr 46-4 et 51" sheetId="101" r:id="rId45"/>
    <sheet name="PG_TABLES" sheetId="84" r:id="rId46"/>
    <sheet name="tabgrp" sheetId="85" r:id="rId47"/>
    <sheet name="fiche technique" sheetId="90" r:id="rId48"/>
    <sheet name="attractivte mcf" sheetId="143" r:id="rId49"/>
    <sheet name="attractivite pr" sheetId="144" r:id="rId50"/>
    <sheet name="attractivite pr etabt" sheetId="156" r:id="rId51"/>
    <sheet name="attractivite mcf etabt" sheetId="157" r:id="rId52"/>
    <sheet name="Feuil1" sheetId="158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BD1">[1]astra_digital!$A$1:$C$62</definedName>
    <definedName name="_CPT1">[2]CPT1!$A$1:$B$211</definedName>
    <definedName name="_FRM1" localSheetId="51">'[1]Tab 1'!#REF!</definedName>
    <definedName name="_FRM1" localSheetId="49">'[1]Tab 1'!#REF!</definedName>
    <definedName name="_FRM1" localSheetId="50">'[1]Tab 1'!#REF!</definedName>
    <definedName name="_FRM1" localSheetId="48">'[1]Tab 1'!#REF!</definedName>
    <definedName name="_FRM1" localSheetId="0">'[1]Tab 1'!#REF!</definedName>
    <definedName name="_FRM1" localSheetId="10">'[1]Tab 1'!#REF!</definedName>
    <definedName name="_FRM1" localSheetId="14">'[1]Tab 1'!#REF!</definedName>
    <definedName name="_FRM1" localSheetId="33">'[1]Tab 1'!#REF!</definedName>
    <definedName name="_FRM1" localSheetId="34">'[1]Tab 1'!#REF!</definedName>
    <definedName name="_FRM1" localSheetId="35">'[1]Tab 1'!#REF!</definedName>
    <definedName name="_FRM1" localSheetId="36">'[1]Tab 1'!#REF!</definedName>
    <definedName name="_FRM1" localSheetId="37">'[1]Tab 1'!#REF!</definedName>
    <definedName name="_FRM1" localSheetId="38">'[1]Tab 1'!#REF!</definedName>
    <definedName name="_FRM1" localSheetId="42">'[1]Tab 1'!#REF!</definedName>
    <definedName name="_FRM1">'[1]Tab 1'!#REF!</definedName>
    <definedName name="_FRM2" localSheetId="51">[3]NBT7!#REF!</definedName>
    <definedName name="_FRM2" localSheetId="49">[3]NBT7!#REF!</definedName>
    <definedName name="_FRM2" localSheetId="50">[3]NBT7!#REF!</definedName>
    <definedName name="_FRM2" localSheetId="48">[3]NBT7!#REF!</definedName>
    <definedName name="_FRM2" localSheetId="0">[3]NBT7!#REF!</definedName>
    <definedName name="_FRM2" localSheetId="10">[3]NBT7!#REF!</definedName>
    <definedName name="_FRM2" localSheetId="33">[3]NBT7!#REF!</definedName>
    <definedName name="_FRM2" localSheetId="34">[3]NBT7!#REF!</definedName>
    <definedName name="_FRM2" localSheetId="35">[3]NBT7!#REF!</definedName>
    <definedName name="_FRM2" localSheetId="36">[3]NBT7!#REF!</definedName>
    <definedName name="_FRM2" localSheetId="37">[3]NBT7!#REF!</definedName>
    <definedName name="_FRM2" localSheetId="38">[3]NBT7!#REF!</definedName>
    <definedName name="_FRM2" localSheetId="42">[3]NBT7!#REF!</definedName>
    <definedName name="_FRM2">[3]NBT7!#REF!</definedName>
    <definedName name="_IMP1">'[4]NBT4 92-93'!$A$1:$V$33</definedName>
    <definedName name="_IMP2">'[4]NBT4 92-93'!$A$35:$V$85</definedName>
    <definedName name="_lib1">[5]libdisc!$A$2:$B$16</definedName>
    <definedName name="_mcf1" localSheetId="51">#REF!</definedName>
    <definedName name="_mcf1" localSheetId="49">#REF!</definedName>
    <definedName name="_mcf1" localSheetId="50">#REF!</definedName>
    <definedName name="_mcf1" localSheetId="48">#REF!</definedName>
    <definedName name="_mcf1" localSheetId="10">#REF!</definedName>
    <definedName name="_mcf1" localSheetId="14">#REF!</definedName>
    <definedName name="_mcf1" localSheetId="33">#REF!</definedName>
    <definedName name="_mcf1" localSheetId="34">#REF!</definedName>
    <definedName name="_mcf1" localSheetId="35">#REF!</definedName>
    <definedName name="_mcf1" localSheetId="36">#REF!</definedName>
    <definedName name="_mcf1" localSheetId="37">#REF!</definedName>
    <definedName name="_mcf1" localSheetId="38">#REF!</definedName>
    <definedName name="_mcf1" localSheetId="42">#REF!</definedName>
    <definedName name="_mcf1">#REF!</definedName>
    <definedName name="_mcf2" localSheetId="51">#REF!</definedName>
    <definedName name="_mcf2" localSheetId="49">#REF!</definedName>
    <definedName name="_mcf2" localSheetId="50">#REF!</definedName>
    <definedName name="_mcf2" localSheetId="48">#REF!</definedName>
    <definedName name="_mcf2" localSheetId="10">#REF!</definedName>
    <definedName name="_mcf2" localSheetId="33">#REF!</definedName>
    <definedName name="_mcf2" localSheetId="34">#REF!</definedName>
    <definedName name="_mcf2" localSheetId="35">#REF!</definedName>
    <definedName name="_mcf2" localSheetId="36">#REF!</definedName>
    <definedName name="_mcf2" localSheetId="37">#REF!</definedName>
    <definedName name="_mcf2" localSheetId="38">#REF!</definedName>
    <definedName name="_mcf2" localSheetId="42">#REF!</definedName>
    <definedName name="_mcf2">#REF!</definedName>
    <definedName name="_mcf3" localSheetId="51">#REF!</definedName>
    <definedName name="_mcf3" localSheetId="49">#REF!</definedName>
    <definedName name="_mcf3" localSheetId="50">#REF!</definedName>
    <definedName name="_mcf3" localSheetId="48">#REF!</definedName>
    <definedName name="_mcf3" localSheetId="10">#REF!</definedName>
    <definedName name="_mcf3" localSheetId="33">#REF!</definedName>
    <definedName name="_mcf3" localSheetId="34">#REF!</definedName>
    <definedName name="_mcf3" localSheetId="35">#REF!</definedName>
    <definedName name="_mcf3" localSheetId="36">#REF!</definedName>
    <definedName name="_mcf3" localSheetId="37">#REF!</definedName>
    <definedName name="_mcf3" localSheetId="38">#REF!</definedName>
    <definedName name="_mcf3" localSheetId="42">#REF!</definedName>
    <definedName name="_mcf3">#REF!</definedName>
    <definedName name="_pr92" localSheetId="51">[1]astra_digital!#REF!</definedName>
    <definedName name="_pr92" localSheetId="49">[1]astra_digital!#REF!</definedName>
    <definedName name="_pr92" localSheetId="50">[1]astra_digital!#REF!</definedName>
    <definedName name="_pr92" localSheetId="48">[1]astra_digital!#REF!</definedName>
    <definedName name="_pr92" localSheetId="0">[1]astra_digital!#REF!</definedName>
    <definedName name="_pr92" localSheetId="10">[1]astra_digital!#REF!</definedName>
    <definedName name="_pr92" localSheetId="14">[1]astra_digital!#REF!</definedName>
    <definedName name="_pr92" localSheetId="33">[1]astra_digital!#REF!</definedName>
    <definedName name="_pr92" localSheetId="34">[1]astra_digital!#REF!</definedName>
    <definedName name="_pr92" localSheetId="35">[1]astra_digital!#REF!</definedName>
    <definedName name="_pr92" localSheetId="36">[1]astra_digital!#REF!</definedName>
    <definedName name="_pr92" localSheetId="37">[1]astra_digital!#REF!</definedName>
    <definedName name="_pr92" localSheetId="38">[1]astra_digital!#REF!</definedName>
    <definedName name="_pr92" localSheetId="42">[1]astra_digital!#REF!</definedName>
    <definedName name="_pr92">[1]astra_digital!#REF!</definedName>
    <definedName name="_tab1" localSheetId="51">#REF!</definedName>
    <definedName name="_tab1" localSheetId="49">#REF!</definedName>
    <definedName name="_tab1" localSheetId="50">#REF!</definedName>
    <definedName name="_tab1" localSheetId="48">#REF!</definedName>
    <definedName name="_tab1" localSheetId="10">#REF!</definedName>
    <definedName name="_tab1" localSheetId="14">#REF!</definedName>
    <definedName name="_tab1" localSheetId="33">#REF!</definedName>
    <definedName name="_tab1" localSheetId="34">#REF!</definedName>
    <definedName name="_tab1" localSheetId="35">#REF!</definedName>
    <definedName name="_tab1" localSheetId="36">#REF!</definedName>
    <definedName name="_tab1" localSheetId="37">#REF!</definedName>
    <definedName name="_tab1" localSheetId="38">#REF!</definedName>
    <definedName name="_tab1" localSheetId="42">#REF!</definedName>
    <definedName name="_tab1">#REF!</definedName>
    <definedName name="_tab2" localSheetId="51">#REF!</definedName>
    <definedName name="_tab2" localSheetId="49">#REF!</definedName>
    <definedName name="_tab2" localSheetId="50">#REF!</definedName>
    <definedName name="_tab2" localSheetId="48">#REF!</definedName>
    <definedName name="_tab2" localSheetId="10">#REF!</definedName>
    <definedName name="_tab2" localSheetId="33">#REF!</definedName>
    <definedName name="_tab2" localSheetId="34">#REF!</definedName>
    <definedName name="_tab2" localSheetId="35">#REF!</definedName>
    <definedName name="_tab2" localSheetId="36">#REF!</definedName>
    <definedName name="_tab2" localSheetId="37">#REF!</definedName>
    <definedName name="_tab2" localSheetId="38">#REF!</definedName>
    <definedName name="_tab2" localSheetId="42">#REF!</definedName>
    <definedName name="_tab2">#REF!</definedName>
    <definedName name="_tab3" localSheetId="51">#REF!</definedName>
    <definedName name="_tab3">#REF!</definedName>
    <definedName name="_tab7" localSheetId="51">#REF!</definedName>
    <definedName name="_tab7" localSheetId="49">#REF!</definedName>
    <definedName name="_tab7" localSheetId="50">#REF!</definedName>
    <definedName name="_tab7" localSheetId="48">#REF!</definedName>
    <definedName name="_tab7" localSheetId="10">#REF!</definedName>
    <definedName name="_tab7" localSheetId="33">#REF!</definedName>
    <definedName name="_tab7" localSheetId="34">#REF!</definedName>
    <definedName name="_tab7" localSheetId="35">#REF!</definedName>
    <definedName name="_tab7" localSheetId="36">#REF!</definedName>
    <definedName name="_tab7" localSheetId="37">#REF!</definedName>
    <definedName name="_tab7" localSheetId="38">#REF!</definedName>
    <definedName name="_tab7" localSheetId="42">#REF!</definedName>
    <definedName name="_tab7">#REF!</definedName>
    <definedName name="_tab8" localSheetId="51">#REF!</definedName>
    <definedName name="_tab8" localSheetId="49">#REF!</definedName>
    <definedName name="_tab8" localSheetId="50">#REF!</definedName>
    <definedName name="_tab8" localSheetId="48">#REF!</definedName>
    <definedName name="_tab8" localSheetId="10">#REF!</definedName>
    <definedName name="_tab8" localSheetId="33">#REF!</definedName>
    <definedName name="_tab8" localSheetId="34">#REF!</definedName>
    <definedName name="_tab8" localSheetId="35">#REF!</definedName>
    <definedName name="_tab8" localSheetId="36">#REF!</definedName>
    <definedName name="_tab8" localSheetId="37">#REF!</definedName>
    <definedName name="_tab8" localSheetId="38">#REF!</definedName>
    <definedName name="_tab8" localSheetId="42">#REF!</definedName>
    <definedName name="_tab8">#REF!</definedName>
    <definedName name="_tab9" localSheetId="51">#REF!</definedName>
    <definedName name="_tab9" localSheetId="49">#REF!</definedName>
    <definedName name="_tab9" localSheetId="50">#REF!</definedName>
    <definedName name="_tab9" localSheetId="48">#REF!</definedName>
    <definedName name="_tab9" localSheetId="10">#REF!</definedName>
    <definedName name="_tab9" localSheetId="33">#REF!</definedName>
    <definedName name="_tab9" localSheetId="34">#REF!</definedName>
    <definedName name="_tab9" localSheetId="35">#REF!</definedName>
    <definedName name="_tab9" localSheetId="36">#REF!</definedName>
    <definedName name="_tab9" localSheetId="37">#REF!</definedName>
    <definedName name="_tab9" localSheetId="38">#REF!</definedName>
    <definedName name="_tab9" localSheetId="42">#REF!</definedName>
    <definedName name="_tab9">#REF!</definedName>
    <definedName name="aa" localSheetId="51">[1]astra_digital!#REF!</definedName>
    <definedName name="aa" localSheetId="49">[1]astra_digital!#REF!</definedName>
    <definedName name="aa" localSheetId="50">[1]astra_digital!#REF!</definedName>
    <definedName name="aa" localSheetId="48">[1]astra_digital!#REF!</definedName>
    <definedName name="aa" localSheetId="0">[1]astra_digital!#REF!</definedName>
    <definedName name="aa" localSheetId="10">[1]astra_digital!#REF!</definedName>
    <definedName name="aa" localSheetId="14">[1]astra_digital!#REF!</definedName>
    <definedName name="aa" localSheetId="33">[1]astra_digital!#REF!</definedName>
    <definedName name="aa" localSheetId="34">[1]astra_digital!#REF!</definedName>
    <definedName name="aa" localSheetId="35">[1]astra_digital!#REF!</definedName>
    <definedName name="aa" localSheetId="36">[1]astra_digital!#REF!</definedName>
    <definedName name="aa" localSheetId="37">[1]astra_digital!#REF!</definedName>
    <definedName name="aa" localSheetId="38">[1]astra_digital!#REF!</definedName>
    <definedName name="aa" localSheetId="42">[1]astra_digital!#REF!</definedName>
    <definedName name="aa">[1]astra_digital!#REF!</definedName>
    <definedName name="ab" localSheetId="51">[1]astra_digital!#REF!</definedName>
    <definedName name="ab" localSheetId="49">[1]astra_digital!#REF!</definedName>
    <definedName name="ab" localSheetId="50">[1]astra_digital!#REF!</definedName>
    <definedName name="ab" localSheetId="48">[1]astra_digital!#REF!</definedName>
    <definedName name="ab" localSheetId="0">[1]astra_digital!#REF!</definedName>
    <definedName name="ab" localSheetId="10">[1]astra_digital!#REF!</definedName>
    <definedName name="ab" localSheetId="33">[1]astra_digital!#REF!</definedName>
    <definedName name="ab" localSheetId="34">[1]astra_digital!#REF!</definedName>
    <definedName name="ab" localSheetId="35">[1]astra_digital!#REF!</definedName>
    <definedName name="ab" localSheetId="36">[1]astra_digital!#REF!</definedName>
    <definedName name="ab" localSheetId="37">[1]astra_digital!#REF!</definedName>
    <definedName name="ab" localSheetId="38">[1]astra_digital!#REF!</definedName>
    <definedName name="ab" localSheetId="42">[1]astra_digital!#REF!</definedName>
    <definedName name="ab">[1]astra_digital!#REF!</definedName>
    <definedName name="an">"donnee99!$B$1"</definedName>
    <definedName name="an_27">"gd98!$B$1"</definedName>
    <definedName name="_xlnm.Database" localSheetId="51">#REF!</definedName>
    <definedName name="_xlnm.Database" localSheetId="49">#REF!</definedName>
    <definedName name="_xlnm.Database" localSheetId="50">#REF!</definedName>
    <definedName name="_xlnm.Database" localSheetId="48">#REF!</definedName>
    <definedName name="_xlnm.Database" localSheetId="0">#REF!</definedName>
    <definedName name="_xlnm.Database" localSheetId="10">#REF!</definedName>
    <definedName name="_xlnm.Database" localSheetId="1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4">#REF!</definedName>
    <definedName name="_xlnm.Database" localSheetId="5">#REF!</definedName>
    <definedName name="_xlnm.Database" localSheetId="6">[6]candidatures_recevables_ss_art_!#REF!</definedName>
    <definedName name="_xlnm.Database" localSheetId="7">[6]candidatures_recevables_ss_art_!#REF!</definedName>
    <definedName name="_xlnm.Database" localSheetId="42">#REF!</definedName>
    <definedName name="_xlnm.Database">#REF!</definedName>
    <definedName name="bb" localSheetId="51">[1]astra_digital!#REF!</definedName>
    <definedName name="bb" localSheetId="49">[1]astra_digital!#REF!</definedName>
    <definedName name="bb" localSheetId="50">[1]astra_digital!#REF!</definedName>
    <definedName name="bb" localSheetId="48">[1]astra_digital!#REF!</definedName>
    <definedName name="bb" localSheetId="0">[1]astra_digital!#REF!</definedName>
    <definedName name="bb" localSheetId="10">[1]astra_digital!#REF!</definedName>
    <definedName name="bb" localSheetId="14">[1]astra_digital!#REF!</definedName>
    <definedName name="bb" localSheetId="33">[1]astra_digital!#REF!</definedName>
    <definedName name="bb" localSheetId="34">[1]astra_digital!#REF!</definedName>
    <definedName name="bb" localSheetId="35">[1]astra_digital!#REF!</definedName>
    <definedName name="bb" localSheetId="36">[1]astra_digital!#REF!</definedName>
    <definedName name="bb" localSheetId="37">[1]astra_digital!#REF!</definedName>
    <definedName name="bb" localSheetId="38">[1]astra_digital!#REF!</definedName>
    <definedName name="bb" localSheetId="42">[1]astra_digital!#REF!</definedName>
    <definedName name="bb">[1]astra_digital!#REF!</definedName>
    <definedName name="bbb">'[7]Tableau de données'!$A$2:$B$32</definedName>
    <definedName name="bbcc">[8]Feuil1!$A$2:$C$45</definedName>
    <definedName name="BCL_REC" localSheetId="51">'[1]Tab 1'!#REF!</definedName>
    <definedName name="BCL_REC" localSheetId="49">'[1]Tab 1'!#REF!</definedName>
    <definedName name="BCL_REC" localSheetId="50">'[1]Tab 1'!#REF!</definedName>
    <definedName name="BCL_REC" localSheetId="48">'[1]Tab 1'!#REF!</definedName>
    <definedName name="BCL_REC" localSheetId="0">'[1]Tab 1'!#REF!</definedName>
    <definedName name="BCL_REC" localSheetId="10">'[1]Tab 1'!#REF!</definedName>
    <definedName name="BCL_REC" localSheetId="14">'[1]Tab 1'!#REF!</definedName>
    <definedName name="BCL_REC" localSheetId="33">'[1]Tab 1'!#REF!</definedName>
    <definedName name="BCL_REC" localSheetId="34">'[1]Tab 1'!#REF!</definedName>
    <definedName name="BCL_REC" localSheetId="35">'[1]Tab 1'!#REF!</definedName>
    <definedName name="BCL_REC" localSheetId="36">'[1]Tab 1'!#REF!</definedName>
    <definedName name="BCL_REC" localSheetId="37">'[1]Tab 1'!#REF!</definedName>
    <definedName name="BCL_REC" localSheetId="38">'[1]Tab 1'!#REF!</definedName>
    <definedName name="BCL_REC" localSheetId="42">'[1]Tab 1'!#REF!</definedName>
    <definedName name="BCL_REC">'[1]Tab 1'!#REF!</definedName>
    <definedName name="bd">'[1]#REF'!$A$1:$C$45</definedName>
    <definedName name="bdd">[9]GDISC98!$A$1:$N$191</definedName>
    <definedName name="cb" localSheetId="51">[1]astra_digital!#REF!</definedName>
    <definedName name="cb" localSheetId="49">[1]astra_digital!#REF!</definedName>
    <definedName name="cb" localSheetId="50">[1]astra_digital!#REF!</definedName>
    <definedName name="cb" localSheetId="48">[1]astra_digital!#REF!</definedName>
    <definedName name="cb" localSheetId="0">[1]astra_digital!#REF!</definedName>
    <definedName name="cb" localSheetId="10">[1]astra_digital!#REF!</definedName>
    <definedName name="cb" localSheetId="14">[1]astra_digital!#REF!</definedName>
    <definedName name="cb" localSheetId="33">[1]astra_digital!#REF!</definedName>
    <definedName name="cb" localSheetId="34">[1]astra_digital!#REF!</definedName>
    <definedName name="cb" localSheetId="35">[1]astra_digital!#REF!</definedName>
    <definedName name="cb" localSheetId="36">[1]astra_digital!#REF!</definedName>
    <definedName name="cb" localSheetId="37">[1]astra_digital!#REF!</definedName>
    <definedName name="cb" localSheetId="38">[1]astra_digital!#REF!</definedName>
    <definedName name="cb" localSheetId="42">[1]astra_digital!#REF!</definedName>
    <definedName name="cb">[1]astra_digital!#REF!</definedName>
    <definedName name="cc" localSheetId="51">#REF!</definedName>
    <definedName name="cc" localSheetId="49">#REF!</definedName>
    <definedName name="cc" localSheetId="50">#REF!</definedName>
    <definedName name="cc" localSheetId="48">#REF!</definedName>
    <definedName name="cc" localSheetId="10">#REF!</definedName>
    <definedName name="cc" localSheetId="33">#REF!</definedName>
    <definedName name="cc" localSheetId="34">#REF!</definedName>
    <definedName name="cc" localSheetId="35">#REF!</definedName>
    <definedName name="cc" localSheetId="36">#REF!</definedName>
    <definedName name="cc" localSheetId="37">#REF!</definedName>
    <definedName name="cc" localSheetId="38">#REF!</definedName>
    <definedName name="cc" localSheetId="5">#REF!</definedName>
    <definedName name="cc" localSheetId="42">#REF!</definedName>
    <definedName name="cc">#REF!</definedName>
    <definedName name="clecr">[8]NAISCRDR!$A$36:$D$1883</definedName>
    <definedName name="clecr_27" localSheetId="51">#REF!</definedName>
    <definedName name="clecr_27">#REF!</definedName>
    <definedName name="cledr">[8]NAISCRDR!$A$36:$E$1883</definedName>
    <definedName name="cledr_27" localSheetId="51">#REF!</definedName>
    <definedName name="cledr_27">#REF!</definedName>
    <definedName name="CPT1_25" localSheetId="51">#REF!</definedName>
    <definedName name="CPT1_25">#REF!</definedName>
    <definedName name="DATE">'[4]NBT4 92-93'!$V$3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ectifs_en_Activité" localSheetId="51">#REF!</definedName>
    <definedName name="Effectifs_en_Activité" localSheetId="49">#REF!</definedName>
    <definedName name="Effectifs_en_Activité" localSheetId="50">#REF!</definedName>
    <definedName name="Effectifs_en_Activité" localSheetId="48">#REF!</definedName>
    <definedName name="Effectifs_en_Activité" localSheetId="10">#REF!</definedName>
    <definedName name="Effectifs_en_Activité" localSheetId="14">#REF!</definedName>
    <definedName name="Effectifs_en_Activité" localSheetId="33">#REF!</definedName>
    <definedName name="Effectifs_en_Activité" localSheetId="34">#REF!</definedName>
    <definedName name="Effectifs_en_Activité" localSheetId="35">#REF!</definedName>
    <definedName name="Effectifs_en_Activité" localSheetId="36">#REF!</definedName>
    <definedName name="Effectifs_en_Activité" localSheetId="37">#REF!</definedName>
    <definedName name="Effectifs_en_Activité" localSheetId="38">#REF!</definedName>
    <definedName name="Effectifs_en_Activité" localSheetId="42">#REF!</definedName>
    <definedName name="Effectifs_en_Activité">#REF!</definedName>
    <definedName name="Enseigndec2000" localSheetId="51">'[10]Intercalaire 1'!#REF!</definedName>
    <definedName name="Enseigndec2000" localSheetId="49">'[10]Intercalaire 1'!#REF!</definedName>
    <definedName name="Enseigndec2000" localSheetId="50">'[10]Intercalaire 1'!#REF!</definedName>
    <definedName name="Enseigndec2000" localSheetId="48">'[10]Intercalaire 1'!#REF!</definedName>
    <definedName name="Enseigndec2000" localSheetId="0">'[10]Intercalaire 1'!#REF!</definedName>
    <definedName name="Enseigndec2000" localSheetId="10">'[10]Intercalaire 1'!#REF!</definedName>
    <definedName name="Enseigndec2000" localSheetId="14">'[10]Intercalaire 1'!#REF!</definedName>
    <definedName name="Enseigndec2000" localSheetId="33">'[10]Intercalaire 1'!#REF!</definedName>
    <definedName name="Enseigndec2000" localSheetId="34">'[10]Intercalaire 1'!#REF!</definedName>
    <definedName name="Enseigndec2000" localSheetId="35">'[10]Intercalaire 1'!#REF!</definedName>
    <definedName name="Enseigndec2000" localSheetId="36">'[10]Intercalaire 1'!#REF!</definedName>
    <definedName name="Enseigndec2000" localSheetId="37">'[10]Intercalaire 1'!#REF!</definedName>
    <definedName name="Enseigndec2000" localSheetId="38">'[10]Intercalaire 1'!#REF!</definedName>
    <definedName name="Enseigndec2000" localSheetId="42">'[10]Intercalaire 1'!#REF!</definedName>
    <definedName name="Enseigndec2000">'[10]Intercalaire 1'!#REF!</definedName>
    <definedName name="enseigntotaldec2000" localSheetId="51">'[10]Intercalaire 1'!#REF!</definedName>
    <definedName name="enseigntotaldec2000" localSheetId="49">'[10]Intercalaire 1'!#REF!</definedName>
    <definedName name="enseigntotaldec2000" localSheetId="50">'[10]Intercalaire 1'!#REF!</definedName>
    <definedName name="enseigntotaldec2000" localSheetId="48">'[10]Intercalaire 1'!#REF!</definedName>
    <definedName name="enseigntotaldec2000" localSheetId="0">'[10]Intercalaire 1'!#REF!</definedName>
    <definedName name="enseigntotaldec2000" localSheetId="10">'[10]Intercalaire 1'!#REF!</definedName>
    <definedName name="enseigntotaldec2000" localSheetId="33">'[10]Intercalaire 1'!#REF!</definedName>
    <definedName name="enseigntotaldec2000" localSheetId="34">'[10]Intercalaire 1'!#REF!</definedName>
    <definedName name="enseigntotaldec2000" localSheetId="35">'[10]Intercalaire 1'!#REF!</definedName>
    <definedName name="enseigntotaldec2000" localSheetId="36">'[10]Intercalaire 1'!#REF!</definedName>
    <definedName name="enseigntotaldec2000" localSheetId="37">'[10]Intercalaire 1'!#REF!</definedName>
    <definedName name="enseigntotaldec2000" localSheetId="38">'[10]Intercalaire 1'!#REF!</definedName>
    <definedName name="enseigntotaldec2000" localSheetId="42">'[10]Intercalaire 1'!#REF!</definedName>
    <definedName name="enseigntotaldec2000">'[10]Intercalaire 1'!#REF!</definedName>
    <definedName name="Excel_BuiltIn_Database">NA()</definedName>
    <definedName name="Excel_BuiltIn_Database_14" localSheetId="51">#REF!</definedName>
    <definedName name="Excel_BuiltIn_Database_14">#REF!</definedName>
    <definedName name="Excel_BuiltIn_Database_15" localSheetId="51">#REF!</definedName>
    <definedName name="Excel_BuiltIn_Database_15">#REF!</definedName>
    <definedName name="Excel_BuiltIn_Database_16" localSheetId="51">#REF!</definedName>
    <definedName name="Excel_BuiltIn_Database_16">#REF!</definedName>
    <definedName name="Excel_BuiltIn_Database_17" localSheetId="51">#REF!</definedName>
    <definedName name="Excel_BuiltIn_Database_17">#REF!</definedName>
    <definedName name="Excel_BuiltIn_Database_18" localSheetId="51">#REF!</definedName>
    <definedName name="Excel_BuiltIn_Database_18">#REF!</definedName>
    <definedName name="Excel_BuiltIn_Database_19" localSheetId="51">#REF!</definedName>
    <definedName name="Excel_BuiltIn_Database_19">#REF!</definedName>
    <definedName name="Excel_BuiltIn_Database_21" localSheetId="51">#REF!</definedName>
    <definedName name="Excel_BuiltIn_Database_21">#REF!</definedName>
    <definedName name="Excel_BuiltIn_Database_23" localSheetId="51">'[11]non candidats'!#REF!</definedName>
    <definedName name="Excel_BuiltIn_Database_23">'[11]non candidats'!#REF!</definedName>
    <definedName name="Excel_BuiltIn_Database_24" localSheetId="51">#REF!</definedName>
    <definedName name="Excel_BuiltIn_Database_24">#REF!</definedName>
    <definedName name="Excel_BuiltIn_Database_25" localSheetId="51">#REF!</definedName>
    <definedName name="Excel_BuiltIn_Database_25">#REF!</definedName>
    <definedName name="Excel_BuiltIn_Database_27" localSheetId="51">#REF!</definedName>
    <definedName name="Excel_BuiltIn_Database_27">#REF!</definedName>
    <definedName name="Excel_BuiltIn_Database_6" localSheetId="51">'[11]tableau qualifications'!#REF!</definedName>
    <definedName name="Excel_BuiltIn_Database_6">'[11]tableau qualifications'!#REF!</definedName>
    <definedName name="Excel_BuiltIn_Database_7" localSheetId="51">#REF!</definedName>
    <definedName name="Excel_BuiltIn_Database_7">#REF!</definedName>
    <definedName name="FORMAT" localSheetId="51">'[1]Tab 1'!#REF!</definedName>
    <definedName name="FORMAT" localSheetId="49">'[1]Tab 1'!#REF!</definedName>
    <definedName name="FORMAT" localSheetId="50">'[1]Tab 1'!#REF!</definedName>
    <definedName name="FORMAT" localSheetId="48">'[1]Tab 1'!#REF!</definedName>
    <definedName name="FORMAT" localSheetId="0">'[1]Tab 1'!#REF!</definedName>
    <definedName name="FORMAT">'[1]Tab 1'!#REF!</definedName>
    <definedName name="FORMAT2" localSheetId="51">'[1]Tab 1'!#REF!</definedName>
    <definedName name="FORMAT2" localSheetId="49">'[1]Tab 1'!#REF!</definedName>
    <definedName name="FORMAT2" localSheetId="50">'[1]Tab 1'!#REF!</definedName>
    <definedName name="FORMAT2" localSheetId="48">'[1]Tab 1'!#REF!</definedName>
    <definedName name="FORMAT2" localSheetId="0">'[1]Tab 1'!#REF!</definedName>
    <definedName name="FORMAT2">'[1]Tab 1'!#REF!</definedName>
    <definedName name="gd98_cum_mcf">[12]gd98!$A$11:$O$251</definedName>
    <definedName name="gd98_cum_pr">[12]gd98!$A$11:$N$251</definedName>
    <definedName name="gd98_cum_tot">[12]gd98!$A$11:$P$251</definedName>
    <definedName name="gd98_eff_moyen">[12]gd98!$A$11:$Q$251</definedName>
    <definedName name="gd98_mcf_tot">[12]gd98!$A$11:$I$251</definedName>
    <definedName name="gd98_median_mcf">[12]gd98!$A$11:$X$252</definedName>
    <definedName name="gd98_median_pr">[12]gd98!$A$11:$U$252</definedName>
    <definedName name="gd98_median_tot">[12]gd98!$A$11:$AA$252</definedName>
    <definedName name="gd98_pr_tot">[12]gd98!$A$11:$F$251</definedName>
    <definedName name="gd98_tot_tot">[12]gd98!$A$11:$L$251</definedName>
    <definedName name="gp98_cum_mcf" localSheetId="51">#REF!</definedName>
    <definedName name="gp98_cum_mcf" localSheetId="49">#REF!</definedName>
    <definedName name="gp98_cum_mcf" localSheetId="50">#REF!</definedName>
    <definedName name="gp98_cum_mcf" localSheetId="48">#REF!</definedName>
    <definedName name="gp98_cum_mcf" localSheetId="10">#REF!</definedName>
    <definedName name="gp98_cum_mcf" localSheetId="33">#REF!</definedName>
    <definedName name="gp98_cum_mcf" localSheetId="34">#REF!</definedName>
    <definedName name="gp98_cum_mcf" localSheetId="35">#REF!</definedName>
    <definedName name="gp98_cum_mcf" localSheetId="36">#REF!</definedName>
    <definedName name="gp98_cum_mcf" localSheetId="37">#REF!</definedName>
    <definedName name="gp98_cum_mcf" localSheetId="38">#REF!</definedName>
    <definedName name="gp98_cum_mcf" localSheetId="5">#REF!</definedName>
    <definedName name="gp98_cum_mcf" localSheetId="42">#REF!</definedName>
    <definedName name="gp98_cum_mcf">#REF!</definedName>
    <definedName name="gp98_cum_mcf_19" localSheetId="51">#REF!</definedName>
    <definedName name="gp98_cum_mcf_19">#REF!</definedName>
    <definedName name="gp98_cum_mcf_21" localSheetId="51">#REF!</definedName>
    <definedName name="gp98_cum_mcf_21">#REF!</definedName>
    <definedName name="gp98_cum_mcf_23" localSheetId="51">#REF!</definedName>
    <definedName name="gp98_cum_mcf_23">#REF!</definedName>
    <definedName name="gp98_cum_mcf_25" localSheetId="51">#REF!</definedName>
    <definedName name="gp98_cum_mcf_25">#REF!</definedName>
    <definedName name="gp98_cum_mcf_27" localSheetId="51">#REF!</definedName>
    <definedName name="gp98_cum_mcf_27">#REF!</definedName>
    <definedName name="gp98_cum_mcf_6" localSheetId="51">#REF!</definedName>
    <definedName name="gp98_cum_mcf_6">#REF!</definedName>
    <definedName name="gp98_cum_pr" localSheetId="51">#REF!</definedName>
    <definedName name="gp98_cum_pr" localSheetId="49">#REF!</definedName>
    <definedName name="gp98_cum_pr" localSheetId="50">#REF!</definedName>
    <definedName name="gp98_cum_pr" localSheetId="48">#REF!</definedName>
    <definedName name="gp98_cum_pr" localSheetId="10">#REF!</definedName>
    <definedName name="gp98_cum_pr" localSheetId="33">#REF!</definedName>
    <definedName name="gp98_cum_pr" localSheetId="34">#REF!</definedName>
    <definedName name="gp98_cum_pr" localSheetId="35">#REF!</definedName>
    <definedName name="gp98_cum_pr" localSheetId="36">#REF!</definedName>
    <definedName name="gp98_cum_pr" localSheetId="37">#REF!</definedName>
    <definedName name="gp98_cum_pr" localSheetId="38">#REF!</definedName>
    <definedName name="gp98_cum_pr" localSheetId="5">#REF!</definedName>
    <definedName name="gp98_cum_pr" localSheetId="42">#REF!</definedName>
    <definedName name="gp98_cum_pr">#REF!</definedName>
    <definedName name="gp98_cum_pr_19" localSheetId="51">#REF!</definedName>
    <definedName name="gp98_cum_pr_19">#REF!</definedName>
    <definedName name="gp98_cum_pr_21" localSheetId="51">#REF!</definedName>
    <definedName name="gp98_cum_pr_21">#REF!</definedName>
    <definedName name="gp98_cum_pr_23" localSheetId="51">#REF!</definedName>
    <definedName name="gp98_cum_pr_23">#REF!</definedName>
    <definedName name="gp98_cum_pr_25" localSheetId="51">#REF!</definedName>
    <definedName name="gp98_cum_pr_25">#REF!</definedName>
    <definedName name="gp98_cum_pr_27" localSheetId="51">#REF!</definedName>
    <definedName name="gp98_cum_pr_27">#REF!</definedName>
    <definedName name="gp98_cum_pr_6" localSheetId="51">#REF!</definedName>
    <definedName name="gp98_cum_pr_6">#REF!</definedName>
    <definedName name="gp98_cum_tot" localSheetId="51">#REF!</definedName>
    <definedName name="gp98_cum_tot" localSheetId="49">#REF!</definedName>
    <definedName name="gp98_cum_tot" localSheetId="50">#REF!</definedName>
    <definedName name="gp98_cum_tot" localSheetId="48">#REF!</definedName>
    <definedName name="gp98_cum_tot" localSheetId="10">#REF!</definedName>
    <definedName name="gp98_cum_tot" localSheetId="33">#REF!</definedName>
    <definedName name="gp98_cum_tot" localSheetId="34">#REF!</definedName>
    <definedName name="gp98_cum_tot" localSheetId="35">#REF!</definedName>
    <definedName name="gp98_cum_tot" localSheetId="36">#REF!</definedName>
    <definedName name="gp98_cum_tot" localSheetId="37">#REF!</definedName>
    <definedName name="gp98_cum_tot" localSheetId="38">#REF!</definedName>
    <definedName name="gp98_cum_tot" localSheetId="5">#REF!</definedName>
    <definedName name="gp98_cum_tot" localSheetId="42">#REF!</definedName>
    <definedName name="gp98_cum_tot">#REF!</definedName>
    <definedName name="gp98_cum_tot_19" localSheetId="51">#REF!</definedName>
    <definedName name="gp98_cum_tot_19">#REF!</definedName>
    <definedName name="gp98_cum_tot_21" localSheetId="51">#REF!</definedName>
    <definedName name="gp98_cum_tot_21">#REF!</definedName>
    <definedName name="gp98_cum_tot_23" localSheetId="51">#REF!</definedName>
    <definedName name="gp98_cum_tot_23">#REF!</definedName>
    <definedName name="gp98_cum_tot_25" localSheetId="51">#REF!</definedName>
    <definedName name="gp98_cum_tot_25">#REF!</definedName>
    <definedName name="gp98_cum_tot_27" localSheetId="51">#REF!</definedName>
    <definedName name="gp98_cum_tot_27">#REF!</definedName>
    <definedName name="gp98_cum_tot_6" localSheetId="51">#REF!</definedName>
    <definedName name="gp98_cum_tot_6">#REF!</definedName>
    <definedName name="gp98_eff_moyen" localSheetId="51">#REF!</definedName>
    <definedName name="gp98_eff_moyen" localSheetId="49">#REF!</definedName>
    <definedName name="gp98_eff_moyen" localSheetId="50">#REF!</definedName>
    <definedName name="gp98_eff_moyen" localSheetId="48">#REF!</definedName>
    <definedName name="gp98_eff_moyen" localSheetId="10">#REF!</definedName>
    <definedName name="gp98_eff_moyen" localSheetId="33">#REF!</definedName>
    <definedName name="gp98_eff_moyen" localSheetId="34">#REF!</definedName>
    <definedName name="gp98_eff_moyen" localSheetId="35">#REF!</definedName>
    <definedName name="gp98_eff_moyen" localSheetId="36">#REF!</definedName>
    <definedName name="gp98_eff_moyen" localSheetId="37">#REF!</definedName>
    <definedName name="gp98_eff_moyen" localSheetId="38">#REF!</definedName>
    <definedName name="gp98_eff_moyen" localSheetId="5">#REF!</definedName>
    <definedName name="gp98_eff_moyen" localSheetId="42">#REF!</definedName>
    <definedName name="gp98_eff_moyen">#REF!</definedName>
    <definedName name="gp98_eff_moyen_19" localSheetId="51">#REF!</definedName>
    <definedName name="gp98_eff_moyen_19">#REF!</definedName>
    <definedName name="gp98_eff_moyen_21" localSheetId="51">#REF!</definedName>
    <definedName name="gp98_eff_moyen_21">#REF!</definedName>
    <definedName name="gp98_eff_moyen_23" localSheetId="51">#REF!</definedName>
    <definedName name="gp98_eff_moyen_23">#REF!</definedName>
    <definedName name="gp98_eff_moyen_25" localSheetId="51">#REF!</definedName>
    <definedName name="gp98_eff_moyen_25">#REF!</definedName>
    <definedName name="gp98_eff_moyen_27" localSheetId="51">#REF!</definedName>
    <definedName name="gp98_eff_moyen_27">#REF!</definedName>
    <definedName name="gp98_eff_moyen_6" localSheetId="51">#REF!</definedName>
    <definedName name="gp98_eff_moyen_6">#REF!</definedName>
    <definedName name="gp98_mcf_tot" localSheetId="51">#REF!</definedName>
    <definedName name="gp98_mcf_tot" localSheetId="49">#REF!</definedName>
    <definedName name="gp98_mcf_tot" localSheetId="50">#REF!</definedName>
    <definedName name="gp98_mcf_tot" localSheetId="48">#REF!</definedName>
    <definedName name="gp98_mcf_tot" localSheetId="10">#REF!</definedName>
    <definedName name="gp98_mcf_tot" localSheetId="33">#REF!</definedName>
    <definedName name="gp98_mcf_tot" localSheetId="34">#REF!</definedName>
    <definedName name="gp98_mcf_tot" localSheetId="35">#REF!</definedName>
    <definedName name="gp98_mcf_tot" localSheetId="36">#REF!</definedName>
    <definedName name="gp98_mcf_tot" localSheetId="37">#REF!</definedName>
    <definedName name="gp98_mcf_tot" localSheetId="38">#REF!</definedName>
    <definedName name="gp98_mcf_tot" localSheetId="5">#REF!</definedName>
    <definedName name="gp98_mcf_tot" localSheetId="42">#REF!</definedName>
    <definedName name="gp98_mcf_tot">#REF!</definedName>
    <definedName name="gp98_mcf_tot_19" localSheetId="51">#REF!</definedName>
    <definedName name="gp98_mcf_tot_19">#REF!</definedName>
    <definedName name="gp98_mcf_tot_21" localSheetId="51">#REF!</definedName>
    <definedName name="gp98_mcf_tot_21">#REF!</definedName>
    <definedName name="gp98_mcf_tot_23" localSheetId="51">#REF!</definedName>
    <definedName name="gp98_mcf_tot_23">#REF!</definedName>
    <definedName name="gp98_mcf_tot_25" localSheetId="51">#REF!</definedName>
    <definedName name="gp98_mcf_tot_25">#REF!</definedName>
    <definedName name="gp98_mcf_tot_27" localSheetId="51">#REF!</definedName>
    <definedName name="gp98_mcf_tot_27">#REF!</definedName>
    <definedName name="gp98_mcf_tot_6" localSheetId="51">#REF!</definedName>
    <definedName name="gp98_mcf_tot_6">#REF!</definedName>
    <definedName name="gp98_median_mcf" localSheetId="51">#REF!</definedName>
    <definedName name="gp98_median_mcf" localSheetId="49">#REF!</definedName>
    <definedName name="gp98_median_mcf" localSheetId="50">#REF!</definedName>
    <definedName name="gp98_median_mcf" localSheetId="48">#REF!</definedName>
    <definedName name="gp98_median_mcf" localSheetId="10">#REF!</definedName>
    <definedName name="gp98_median_mcf" localSheetId="33">#REF!</definedName>
    <definedName name="gp98_median_mcf" localSheetId="34">#REF!</definedName>
    <definedName name="gp98_median_mcf" localSheetId="35">#REF!</definedName>
    <definedName name="gp98_median_mcf" localSheetId="36">#REF!</definedName>
    <definedName name="gp98_median_mcf" localSheetId="37">#REF!</definedName>
    <definedName name="gp98_median_mcf" localSheetId="38">#REF!</definedName>
    <definedName name="gp98_median_mcf" localSheetId="5">#REF!</definedName>
    <definedName name="gp98_median_mcf" localSheetId="42">#REF!</definedName>
    <definedName name="gp98_median_mcf">#REF!</definedName>
    <definedName name="gp98_median_mcf_19" localSheetId="51">#REF!</definedName>
    <definedName name="gp98_median_mcf_19">#REF!</definedName>
    <definedName name="gp98_median_mcf_21" localSheetId="51">#REF!</definedName>
    <definedName name="gp98_median_mcf_21">#REF!</definedName>
    <definedName name="gp98_median_mcf_23" localSheetId="51">#REF!</definedName>
    <definedName name="gp98_median_mcf_23">#REF!</definedName>
    <definedName name="gp98_median_mcf_25" localSheetId="51">#REF!</definedName>
    <definedName name="gp98_median_mcf_25">#REF!</definedName>
    <definedName name="gp98_median_mcf_27" localSheetId="51">#REF!</definedName>
    <definedName name="gp98_median_mcf_27">#REF!</definedName>
    <definedName name="gp98_median_mcf_6" localSheetId="51">#REF!</definedName>
    <definedName name="gp98_median_mcf_6">#REF!</definedName>
    <definedName name="gp98_median_pr" localSheetId="51">#REF!</definedName>
    <definedName name="gp98_median_pr" localSheetId="49">#REF!</definedName>
    <definedName name="gp98_median_pr" localSheetId="50">#REF!</definedName>
    <definedName name="gp98_median_pr" localSheetId="48">#REF!</definedName>
    <definedName name="gp98_median_pr" localSheetId="10">#REF!</definedName>
    <definedName name="gp98_median_pr" localSheetId="33">#REF!</definedName>
    <definedName name="gp98_median_pr" localSheetId="34">#REF!</definedName>
    <definedName name="gp98_median_pr" localSheetId="35">#REF!</definedName>
    <definedName name="gp98_median_pr" localSheetId="36">#REF!</definedName>
    <definedName name="gp98_median_pr" localSheetId="37">#REF!</definedName>
    <definedName name="gp98_median_pr" localSheetId="38">#REF!</definedName>
    <definedName name="gp98_median_pr" localSheetId="5">#REF!</definedName>
    <definedName name="gp98_median_pr" localSheetId="42">#REF!</definedName>
    <definedName name="gp98_median_pr">#REF!</definedName>
    <definedName name="gp98_median_pr_19" localSheetId="51">#REF!</definedName>
    <definedName name="gp98_median_pr_19">#REF!</definedName>
    <definedName name="gp98_median_pr_21" localSheetId="51">#REF!</definedName>
    <definedName name="gp98_median_pr_21">#REF!</definedName>
    <definedName name="gp98_median_pr_23" localSheetId="51">#REF!</definedName>
    <definedName name="gp98_median_pr_23">#REF!</definedName>
    <definedName name="gp98_median_pr_25" localSheetId="51">#REF!</definedName>
    <definedName name="gp98_median_pr_25">#REF!</definedName>
    <definedName name="gp98_median_pr_27" localSheetId="51">#REF!</definedName>
    <definedName name="gp98_median_pr_27">#REF!</definedName>
    <definedName name="gp98_median_pr_6" localSheetId="51">#REF!</definedName>
    <definedName name="gp98_median_pr_6">#REF!</definedName>
    <definedName name="gp98_median_tot" localSheetId="51">#REF!</definedName>
    <definedName name="gp98_median_tot" localSheetId="49">#REF!</definedName>
    <definedName name="gp98_median_tot" localSheetId="50">#REF!</definedName>
    <definedName name="gp98_median_tot" localSheetId="48">#REF!</definedName>
    <definedName name="gp98_median_tot" localSheetId="10">#REF!</definedName>
    <definedName name="gp98_median_tot" localSheetId="33">#REF!</definedName>
    <definedName name="gp98_median_tot" localSheetId="34">#REF!</definedName>
    <definedName name="gp98_median_tot" localSheetId="35">#REF!</definedName>
    <definedName name="gp98_median_tot" localSheetId="36">#REF!</definedName>
    <definedName name="gp98_median_tot" localSheetId="37">#REF!</definedName>
    <definedName name="gp98_median_tot" localSheetId="38">#REF!</definedName>
    <definedName name="gp98_median_tot" localSheetId="5">#REF!</definedName>
    <definedName name="gp98_median_tot" localSheetId="42">#REF!</definedName>
    <definedName name="gp98_median_tot">#REF!</definedName>
    <definedName name="gp98_median_tot_19" localSheetId="51">#REF!</definedName>
    <definedName name="gp98_median_tot_19">#REF!</definedName>
    <definedName name="gp98_median_tot_21" localSheetId="51">#REF!</definedName>
    <definedName name="gp98_median_tot_21">#REF!</definedName>
    <definedName name="gp98_median_tot_23" localSheetId="51">#REF!</definedName>
    <definedName name="gp98_median_tot_23">#REF!</definedName>
    <definedName name="gp98_median_tot_25" localSheetId="51">#REF!</definedName>
    <definedName name="gp98_median_tot_25">#REF!</definedName>
    <definedName name="gp98_median_tot_27" localSheetId="51">#REF!</definedName>
    <definedName name="gp98_median_tot_27">#REF!</definedName>
    <definedName name="gp98_median_tot_6" localSheetId="51">#REF!</definedName>
    <definedName name="gp98_median_tot_6">#REF!</definedName>
    <definedName name="gp98_pr_tot" localSheetId="51">#REF!</definedName>
    <definedName name="gp98_pr_tot" localSheetId="49">#REF!</definedName>
    <definedName name="gp98_pr_tot" localSheetId="50">#REF!</definedName>
    <definedName name="gp98_pr_tot" localSheetId="48">#REF!</definedName>
    <definedName name="gp98_pr_tot" localSheetId="10">#REF!</definedName>
    <definedName name="gp98_pr_tot" localSheetId="33">#REF!</definedName>
    <definedName name="gp98_pr_tot" localSheetId="34">#REF!</definedName>
    <definedName name="gp98_pr_tot" localSheetId="35">#REF!</definedName>
    <definedName name="gp98_pr_tot" localSheetId="36">#REF!</definedName>
    <definedName name="gp98_pr_tot" localSheetId="37">#REF!</definedName>
    <definedName name="gp98_pr_tot" localSheetId="38">#REF!</definedName>
    <definedName name="gp98_pr_tot" localSheetId="5">#REF!</definedName>
    <definedName name="gp98_pr_tot" localSheetId="42">#REF!</definedName>
    <definedName name="gp98_pr_tot">#REF!</definedName>
    <definedName name="gp98_pr_tot_19" localSheetId="51">#REF!</definedName>
    <definedName name="gp98_pr_tot_19">#REF!</definedName>
    <definedName name="gp98_pr_tot_21" localSheetId="51">#REF!</definedName>
    <definedName name="gp98_pr_tot_21">#REF!</definedName>
    <definedName name="gp98_pr_tot_23" localSheetId="51">#REF!</definedName>
    <definedName name="gp98_pr_tot_23">#REF!</definedName>
    <definedName name="gp98_pr_tot_25" localSheetId="51">#REF!</definedName>
    <definedName name="gp98_pr_tot_25">#REF!</definedName>
    <definedName name="gp98_pr_tot_27" localSheetId="51">#REF!</definedName>
    <definedName name="gp98_pr_tot_27">#REF!</definedName>
    <definedName name="gp98_pr_tot_6" localSheetId="51">#REF!</definedName>
    <definedName name="gp98_pr_tot_6">#REF!</definedName>
    <definedName name="gp98_tot_tot" localSheetId="51">#REF!</definedName>
    <definedName name="gp98_tot_tot" localSheetId="49">#REF!</definedName>
    <definedName name="gp98_tot_tot" localSheetId="50">#REF!</definedName>
    <definedName name="gp98_tot_tot" localSheetId="48">#REF!</definedName>
    <definedName name="gp98_tot_tot" localSheetId="10">#REF!</definedName>
    <definedName name="gp98_tot_tot" localSheetId="33">#REF!</definedName>
    <definedName name="gp98_tot_tot" localSheetId="34">#REF!</definedName>
    <definedName name="gp98_tot_tot" localSheetId="35">#REF!</definedName>
    <definedName name="gp98_tot_tot" localSheetId="36">#REF!</definedName>
    <definedName name="gp98_tot_tot" localSheetId="37">#REF!</definedName>
    <definedName name="gp98_tot_tot" localSheetId="38">#REF!</definedName>
    <definedName name="gp98_tot_tot" localSheetId="5">#REF!</definedName>
    <definedName name="gp98_tot_tot" localSheetId="42">#REF!</definedName>
    <definedName name="gp98_tot_tot">#REF!</definedName>
    <definedName name="gp98_tot_tot_19" localSheetId="51">#REF!</definedName>
    <definedName name="gp98_tot_tot_19">#REF!</definedName>
    <definedName name="gp98_tot_tot_21" localSheetId="51">#REF!</definedName>
    <definedName name="gp98_tot_tot_21">#REF!</definedName>
    <definedName name="gp98_tot_tot_23" localSheetId="51">#REF!</definedName>
    <definedName name="gp98_tot_tot_23">#REF!</definedName>
    <definedName name="gp98_tot_tot_25" localSheetId="51">#REF!</definedName>
    <definedName name="gp98_tot_tot_25">#REF!</definedName>
    <definedName name="gp98_tot_tot_27" localSheetId="51">#REF!</definedName>
    <definedName name="gp98_tot_tot_27">#REF!</definedName>
    <definedName name="gp98_tot_tot_6" localSheetId="51">#REF!</definedName>
    <definedName name="gp98_tot_tot_6">#REF!</definedName>
    <definedName name="groupe">[1]astra_digital!$A$1:$C$62</definedName>
    <definedName name="IMP" localSheetId="51">'[1]Tab 3'!#REF!</definedName>
    <definedName name="IMP" localSheetId="49">'[1]Tab 3'!#REF!</definedName>
    <definedName name="IMP" localSheetId="50">'[1]Tab 3'!#REF!</definedName>
    <definedName name="IMP" localSheetId="48">'[1]Tab 3'!#REF!</definedName>
    <definedName name="IMP" localSheetId="0">'[1]Tab 3'!#REF!</definedName>
    <definedName name="IMP" localSheetId="10">'[1]Tab 3'!#REF!</definedName>
    <definedName name="IMP" localSheetId="14">'[1]Tab 3'!#REF!</definedName>
    <definedName name="IMP" localSheetId="33">'[1]Tab 3'!#REF!</definedName>
    <definedName name="IMP" localSheetId="34">'[1]Tab 3'!#REF!</definedName>
    <definedName name="IMP" localSheetId="35">'[1]Tab 3'!#REF!</definedName>
    <definedName name="IMP" localSheetId="36">'[1]Tab 3'!#REF!</definedName>
    <definedName name="IMP" localSheetId="37">'[1]Tab 3'!#REF!</definedName>
    <definedName name="IMP" localSheetId="38">'[1]Tab 3'!#REF!</definedName>
    <definedName name="IMP" localSheetId="42">'[1]Tab 3'!#REF!</definedName>
    <definedName name="IMP">'[1]Tab 3'!#REF!</definedName>
    <definedName name="_xlnm.Print_Titles" localSheetId="50">'attractivite pr etabt'!$1:$10</definedName>
    <definedName name="_xlnm.Print_Titles" localSheetId="4">'TAB S-4 étabs'!$1:$9</definedName>
    <definedName name="lib_section">[8]Section!$A$2:$B$43</definedName>
    <definedName name="lib_section_27" localSheetId="51">#REF!</definedName>
    <definedName name="lib_section_27">#REF!</definedName>
    <definedName name="Medecine" localSheetId="51">[1]astra_digital!#REF!</definedName>
    <definedName name="Medecine" localSheetId="49">[1]astra_digital!#REF!</definedName>
    <definedName name="Medecine" localSheetId="50">[1]astra_digital!#REF!</definedName>
    <definedName name="Medecine" localSheetId="48">[1]astra_digital!#REF!</definedName>
    <definedName name="Medecine" localSheetId="0">[1]astra_digital!#REF!</definedName>
    <definedName name="Medecine" localSheetId="10">[1]astra_digital!#REF!</definedName>
    <definedName name="Medecine" localSheetId="14">[1]astra_digital!#REF!</definedName>
    <definedName name="Medecine" localSheetId="33">[1]astra_digital!#REF!</definedName>
    <definedName name="Medecine" localSheetId="34">[1]astra_digital!#REF!</definedName>
    <definedName name="Medecine" localSheetId="35">[1]astra_digital!#REF!</definedName>
    <definedName name="Medecine" localSheetId="36">[1]astra_digital!#REF!</definedName>
    <definedName name="Medecine" localSheetId="37">[1]astra_digital!#REF!</definedName>
    <definedName name="Medecine" localSheetId="38">[1]astra_digital!#REF!</definedName>
    <definedName name="Medecine" localSheetId="42">[1]astra_digital!#REF!</definedName>
    <definedName name="Medecine">[1]astra_digital!#REF!</definedName>
    <definedName name="Médecine" localSheetId="51">[1]astra_digital!#REF!</definedName>
    <definedName name="Médecine" localSheetId="49">[1]astra_digital!#REF!</definedName>
    <definedName name="Médecine" localSheetId="50">[1]astra_digital!#REF!</definedName>
    <definedName name="Médecine" localSheetId="48">[1]astra_digital!#REF!</definedName>
    <definedName name="Médecine" localSheetId="0">[1]astra_digital!#REF!</definedName>
    <definedName name="Médecine" localSheetId="10">[1]astra_digital!#REF!</definedName>
    <definedName name="Médecine" localSheetId="33">[1]astra_digital!#REF!</definedName>
    <definedName name="Médecine" localSheetId="34">[1]astra_digital!#REF!</definedName>
    <definedName name="Médecine" localSheetId="35">[1]astra_digital!#REF!</definedName>
    <definedName name="Médecine" localSheetId="36">[1]astra_digital!#REF!</definedName>
    <definedName name="Médecine" localSheetId="37">[1]astra_digital!#REF!</definedName>
    <definedName name="Médecine" localSheetId="38">[1]astra_digital!#REF!</definedName>
    <definedName name="Médecine" localSheetId="42">[1]astra_digital!#REF!</definedName>
    <definedName name="Médecine">[1]astra_digital!#REF!</definedName>
    <definedName name="moy" localSheetId="51">#REF!</definedName>
    <definedName name="moy" localSheetId="49">#REF!</definedName>
    <definedName name="moy" localSheetId="50">#REF!</definedName>
    <definedName name="moy" localSheetId="48">#REF!</definedName>
    <definedName name="moy" localSheetId="10">#REF!</definedName>
    <definedName name="moy" localSheetId="33">#REF!</definedName>
    <definedName name="moy" localSheetId="34">#REF!</definedName>
    <definedName name="moy" localSheetId="35">#REF!</definedName>
    <definedName name="moy" localSheetId="36">#REF!</definedName>
    <definedName name="moy" localSheetId="37">#REF!</definedName>
    <definedName name="moy" localSheetId="38">#REF!</definedName>
    <definedName name="moy" localSheetId="5">#REF!</definedName>
    <definedName name="moy" localSheetId="42">#REF!</definedName>
    <definedName name="moy">#REF!</definedName>
    <definedName name="nnn">[8]Feuil1!$A$2:$B$45</definedName>
    <definedName name="Odonto" localSheetId="51">[1]astra_digital!#REF!</definedName>
    <definedName name="Odonto" localSheetId="49">[1]astra_digital!#REF!</definedName>
    <definedName name="Odonto" localSheetId="50">[1]astra_digital!#REF!</definedName>
    <definedName name="Odonto" localSheetId="48">[1]astra_digital!#REF!</definedName>
    <definedName name="Odonto" localSheetId="0">[1]astra_digital!#REF!</definedName>
    <definedName name="Odonto" localSheetId="10">[1]astra_digital!#REF!</definedName>
    <definedName name="Odonto" localSheetId="14">[1]astra_digital!#REF!</definedName>
    <definedName name="Odonto" localSheetId="33">[1]astra_digital!#REF!</definedName>
    <definedName name="Odonto" localSheetId="34">[1]astra_digital!#REF!</definedName>
    <definedName name="Odonto" localSheetId="35">[1]astra_digital!#REF!</definedName>
    <definedName name="Odonto" localSheetId="36">[1]astra_digital!#REF!</definedName>
    <definedName name="Odonto" localSheetId="37">[1]astra_digital!#REF!</definedName>
    <definedName name="Odonto" localSheetId="38">[1]astra_digital!#REF!</definedName>
    <definedName name="Odonto" localSheetId="42">[1]astra_digital!#REF!</definedName>
    <definedName name="Odonto">[1]astra_digital!#REF!</definedName>
    <definedName name="Odontologie" localSheetId="51">[1]astra_digital!#REF!</definedName>
    <definedName name="Odontologie" localSheetId="49">[1]astra_digital!#REF!</definedName>
    <definedName name="Odontologie" localSheetId="50">[1]astra_digital!#REF!</definedName>
    <definedName name="Odontologie" localSheetId="48">[1]astra_digital!#REF!</definedName>
    <definedName name="Odontologie" localSheetId="0">[1]astra_digital!#REF!</definedName>
    <definedName name="Odontologie" localSheetId="10">[1]astra_digital!#REF!</definedName>
    <definedName name="Odontologie" localSheetId="33">[1]astra_digital!#REF!</definedName>
    <definedName name="Odontologie" localSheetId="34">[1]astra_digital!#REF!</definedName>
    <definedName name="Odontologie" localSheetId="35">[1]astra_digital!#REF!</definedName>
    <definedName name="Odontologie" localSheetId="36">[1]astra_digital!#REF!</definedName>
    <definedName name="Odontologie" localSheetId="37">[1]astra_digital!#REF!</definedName>
    <definedName name="Odontologie" localSheetId="38">[1]astra_digital!#REF!</definedName>
    <definedName name="Odontologie" localSheetId="42">[1]astra_digital!#REF!</definedName>
    <definedName name="Odontologie">[1]astra_digital!#REF!</definedName>
    <definedName name="Pharma" localSheetId="51">[1]astra_digital!#REF!</definedName>
    <definedName name="Pharma" localSheetId="49">[1]astra_digital!#REF!</definedName>
    <definedName name="Pharma" localSheetId="50">[1]astra_digital!#REF!</definedName>
    <definedName name="Pharma" localSheetId="48">[1]astra_digital!#REF!</definedName>
    <definedName name="Pharma" localSheetId="0">[1]astra_digital!#REF!</definedName>
    <definedName name="Pharma">[1]astra_digital!#REF!</definedName>
    <definedName name="Pharmacie" localSheetId="51">[1]astra_digital!#REF!</definedName>
    <definedName name="Pharmacie" localSheetId="49">[1]astra_digital!#REF!</definedName>
    <definedName name="Pharmacie" localSheetId="50">[1]astra_digital!#REF!</definedName>
    <definedName name="Pharmacie" localSheetId="48">[1]astra_digital!#REF!</definedName>
    <definedName name="Pharmacie" localSheetId="0">[1]astra_digital!#REF!</definedName>
    <definedName name="Pharmacie">[1]astra_digital!#REF!</definedName>
    <definedName name="PRINCIPAL" localSheetId="51">'[1]Tab 1'!#REF!</definedName>
    <definedName name="PRINCIPAL" localSheetId="49">'[1]Tab 1'!#REF!</definedName>
    <definedName name="PRINCIPAL" localSheetId="50">'[1]Tab 1'!#REF!</definedName>
    <definedName name="PRINCIPAL" localSheetId="48">'[1]Tab 1'!#REF!</definedName>
    <definedName name="PRINCIPAL" localSheetId="0">'[1]Tab 1'!#REF!</definedName>
    <definedName name="PRINCIPAL">'[1]Tab 1'!#REF!</definedName>
    <definedName name="qual06">[13]Feuil2!$A$1:$E$8035</definedName>
    <definedName name="qual06_25" localSheetId="51">#REF!</definedName>
    <definedName name="qual06_25">#REF!</definedName>
    <definedName name="qualif06">[13]Feuil2!$A$1:$E$8035</definedName>
    <definedName name="qualif06_25" localSheetId="51">#REF!</definedName>
    <definedName name="qualif06_25">#REF!</definedName>
    <definedName name="Sciences" localSheetId="51">[1]astra_digital!#REF!</definedName>
    <definedName name="Sciences" localSheetId="49">[1]astra_digital!#REF!</definedName>
    <definedName name="Sciences" localSheetId="50">[1]astra_digital!#REF!</definedName>
    <definedName name="Sciences" localSheetId="48">[1]astra_digital!#REF!</definedName>
    <definedName name="Sciences" localSheetId="0">[1]astra_digital!#REF!</definedName>
    <definedName name="Sciences" localSheetId="10">[1]astra_digital!#REF!</definedName>
    <definedName name="Sciences" localSheetId="14">[1]astra_digital!#REF!</definedName>
    <definedName name="Sciences" localSheetId="33">[1]astra_digital!#REF!</definedName>
    <definedName name="Sciences" localSheetId="34">[1]astra_digital!#REF!</definedName>
    <definedName name="Sciences" localSheetId="35">[1]astra_digital!#REF!</definedName>
    <definedName name="Sciences" localSheetId="36">[1]astra_digital!#REF!</definedName>
    <definedName name="Sciences" localSheetId="37">[1]astra_digital!#REF!</definedName>
    <definedName name="Sciences" localSheetId="38">[1]astra_digital!#REF!</definedName>
    <definedName name="Sciences" localSheetId="42">[1]astra_digital!#REF!</definedName>
    <definedName name="Sciences">[1]astra_digital!#REF!</definedName>
    <definedName name="STAPS" localSheetId="51">[1]astra_digital!#REF!</definedName>
    <definedName name="STAPS" localSheetId="49">[1]astra_digital!#REF!</definedName>
    <definedName name="STAPS" localSheetId="50">[1]astra_digital!#REF!</definedName>
    <definedName name="STAPS" localSheetId="48">[1]astra_digital!#REF!</definedName>
    <definedName name="STAPS" localSheetId="0">[1]astra_digital!#REF!</definedName>
    <definedName name="STAPS" localSheetId="10">[1]astra_digital!#REF!</definedName>
    <definedName name="STAPS" localSheetId="33">[1]astra_digital!#REF!</definedName>
    <definedName name="STAPS" localSheetId="34">[1]astra_digital!#REF!</definedName>
    <definedName name="STAPS" localSheetId="35">[1]astra_digital!#REF!</definedName>
    <definedName name="STAPS" localSheetId="36">[1]astra_digital!#REF!</definedName>
    <definedName name="STAPS" localSheetId="37">[1]astra_digital!#REF!</definedName>
    <definedName name="STAPS" localSheetId="38">[1]astra_digital!#REF!</definedName>
    <definedName name="STAPS" localSheetId="42">[1]astra_digital!#REF!</definedName>
    <definedName name="STAPS">[1]astra_digital!#REF!</definedName>
    <definedName name="TABDS">'[7]Tableau de données'!$A$2:$B$32</definedName>
    <definedName name="TABDS_27" localSheetId="51">#REF!</definedName>
    <definedName name="TABDS_27">#REF!</definedName>
    <definedName name="TCNU">'[1]#REF'!$A$1:$B$118</definedName>
    <definedName name="TDIORIG" localSheetId="51">#REF!</definedName>
    <definedName name="TDIORIG" localSheetId="49">#REF!</definedName>
    <definedName name="TDIORIG" localSheetId="50">#REF!</definedName>
    <definedName name="TDIORIG" localSheetId="48">#REF!</definedName>
    <definedName name="TDIORIG" localSheetId="10">#REF!</definedName>
    <definedName name="TDIORIG" localSheetId="14">#REF!</definedName>
    <definedName name="TDIORIG" localSheetId="33">#REF!</definedName>
    <definedName name="TDIORIG" localSheetId="34">#REF!</definedName>
    <definedName name="TDIORIG" localSheetId="35">#REF!</definedName>
    <definedName name="TDIORIG" localSheetId="36">#REF!</definedName>
    <definedName name="TDIORIG" localSheetId="37">#REF!</definedName>
    <definedName name="TDIORIG" localSheetId="38">#REF!</definedName>
    <definedName name="TDIORIG" localSheetId="42">#REF!</definedName>
    <definedName name="TDIORIG">#REF!</definedName>
    <definedName name="TDIORIG_25" localSheetId="51">#REF!</definedName>
    <definedName name="TDIORIG_25">#REF!</definedName>
    <definedName name="TE_Droit" localSheetId="51">[1]astra_digital!#REF!</definedName>
    <definedName name="TE_Droit" localSheetId="49">[1]astra_digital!#REF!</definedName>
    <definedName name="TE_Droit" localSheetId="50">[1]astra_digital!#REF!</definedName>
    <definedName name="TE_Droit" localSheetId="48">[1]astra_digital!#REF!</definedName>
    <definedName name="TE_Droit" localSheetId="0">[1]astra_digital!#REF!</definedName>
    <definedName name="TE_Droit" localSheetId="10">[1]astra_digital!#REF!</definedName>
    <definedName name="TE_Droit" localSheetId="14">[1]astra_digital!#REF!</definedName>
    <definedName name="TE_Droit" localSheetId="33">[1]astra_digital!#REF!</definedName>
    <definedName name="TE_Droit" localSheetId="34">[1]astra_digital!#REF!</definedName>
    <definedName name="TE_Droit" localSheetId="35">[1]astra_digital!#REF!</definedName>
    <definedName name="TE_Droit" localSheetId="36">[1]astra_digital!#REF!</definedName>
    <definedName name="TE_Droit" localSheetId="37">[1]astra_digital!#REF!</definedName>
    <definedName name="TE_Droit" localSheetId="38">[1]astra_digital!#REF!</definedName>
    <definedName name="TE_Droit" localSheetId="42">[1]astra_digital!#REF!</definedName>
    <definedName name="TE_Droit">[1]astra_digital!#REF!</definedName>
    <definedName name="TE_Lettres" localSheetId="51">[1]astra_digital!#REF!</definedName>
    <definedName name="TE_Lettres" localSheetId="49">[1]astra_digital!#REF!</definedName>
    <definedName name="TE_Lettres" localSheetId="50">[1]astra_digital!#REF!</definedName>
    <definedName name="TE_Lettres" localSheetId="48">[1]astra_digital!#REF!</definedName>
    <definedName name="TE_Lettres" localSheetId="0">[1]astra_digital!#REF!</definedName>
    <definedName name="TE_Lettres" localSheetId="10">[1]astra_digital!#REF!</definedName>
    <definedName name="TE_Lettres" localSheetId="14">[1]astra_digital!#REF!</definedName>
    <definedName name="TE_Lettres" localSheetId="33">[1]astra_digital!#REF!</definedName>
    <definedName name="TE_Lettres" localSheetId="34">[1]astra_digital!#REF!</definedName>
    <definedName name="TE_Lettres" localSheetId="35">[1]astra_digital!#REF!</definedName>
    <definedName name="TE_Lettres" localSheetId="36">[1]astra_digital!#REF!</definedName>
    <definedName name="TE_Lettres" localSheetId="37">[1]astra_digital!#REF!</definedName>
    <definedName name="TE_Lettres" localSheetId="38">[1]astra_digital!#REF!</definedName>
    <definedName name="TE_Lettres" localSheetId="42">[1]astra_digital!#REF!</definedName>
    <definedName name="TE_Lettres">[1]astra_digital!#REF!</definedName>
    <definedName name="TE_Médecine" localSheetId="51">[1]astra_digital!#REF!</definedName>
    <definedName name="TE_Médecine" localSheetId="49">[1]astra_digital!#REF!</definedName>
    <definedName name="TE_Médecine" localSheetId="50">[1]astra_digital!#REF!</definedName>
    <definedName name="TE_Médecine" localSheetId="48">[1]astra_digital!#REF!</definedName>
    <definedName name="TE_Médecine" localSheetId="0">[1]astra_digital!#REF!</definedName>
    <definedName name="TE_Médecine">[1]astra_digital!#REF!</definedName>
    <definedName name="TE_Odonto" localSheetId="51">[1]astra_digital!#REF!</definedName>
    <definedName name="TE_Odonto" localSheetId="49">[1]astra_digital!#REF!</definedName>
    <definedName name="TE_Odonto" localSheetId="50">[1]astra_digital!#REF!</definedName>
    <definedName name="TE_Odonto" localSheetId="48">[1]astra_digital!#REF!</definedName>
    <definedName name="TE_Odonto" localSheetId="0">[1]astra_digital!#REF!</definedName>
    <definedName name="TE_Odonto">[1]astra_digital!#REF!</definedName>
    <definedName name="TE_Pharma" localSheetId="51">[1]astra_digital!#REF!</definedName>
    <definedName name="TE_Pharma" localSheetId="49">[1]astra_digital!#REF!</definedName>
    <definedName name="TE_Pharma" localSheetId="50">[1]astra_digital!#REF!</definedName>
    <definedName name="TE_Pharma" localSheetId="48">[1]astra_digital!#REF!</definedName>
    <definedName name="TE_Pharma" localSheetId="0">[1]astra_digital!#REF!</definedName>
    <definedName name="TE_Pharma">[1]astra_digital!#REF!</definedName>
    <definedName name="TE_Sciences" localSheetId="51">[1]astra_digital!#REF!</definedName>
    <definedName name="TE_Sciences" localSheetId="49">[1]astra_digital!#REF!</definedName>
    <definedName name="TE_Sciences" localSheetId="50">[1]astra_digital!#REF!</definedName>
    <definedName name="TE_Sciences" localSheetId="48">[1]astra_digital!#REF!</definedName>
    <definedName name="TE_Sciences" localSheetId="0">[1]astra_digital!#REF!</definedName>
    <definedName name="TE_Sciences">[1]astra_digital!#REF!</definedName>
    <definedName name="tetab">'[1]Etabt-corps (DLSP)'!$B$3:$K$182</definedName>
    <definedName name="TGD">'[1]#REF'!$A$2:$B$7</definedName>
    <definedName name="tgrade">[1]CORPS!$A$1:$C$62</definedName>
    <definedName name="titi" localSheetId="51">'[14]TAB I'!#REF!</definedName>
    <definedName name="titi" localSheetId="49">'[14]TAB I'!#REF!</definedName>
    <definedName name="titi" localSheetId="50">'[14]TAB I'!#REF!</definedName>
    <definedName name="titi" localSheetId="48">'[14]TAB I'!#REF!</definedName>
    <definedName name="titi" localSheetId="0">'[14]TAB I'!#REF!</definedName>
    <definedName name="titi" localSheetId="10">'[14]TAB I'!#REF!</definedName>
    <definedName name="titi" localSheetId="14">'[14]TAB I'!#REF!</definedName>
    <definedName name="titi" localSheetId="33">'[14]TAB I'!#REF!</definedName>
    <definedName name="titi" localSheetId="34">'[14]TAB I'!#REF!</definedName>
    <definedName name="titi" localSheetId="35">'[14]TAB I'!#REF!</definedName>
    <definedName name="titi" localSheetId="36">'[14]TAB I'!#REF!</definedName>
    <definedName name="titi" localSheetId="37">'[14]TAB I'!#REF!</definedName>
    <definedName name="titi" localSheetId="38">'[14]TAB I'!#REF!</definedName>
    <definedName name="titi" localSheetId="4">#REF!</definedName>
    <definedName name="titi" localSheetId="42">'[14]TAB I'!#REF!</definedName>
    <definedName name="titi">'[14]TAB I'!#REF!</definedName>
    <definedName name="titi_27" localSheetId="51">#REF!</definedName>
    <definedName name="titi_27">#REF!</definedName>
    <definedName name="tlibc" localSheetId="51">#REF!</definedName>
    <definedName name="tlibc" localSheetId="49">#REF!</definedName>
    <definedName name="tlibc" localSheetId="50">#REF!</definedName>
    <definedName name="tlibc" localSheetId="48">#REF!</definedName>
    <definedName name="tlibc" localSheetId="10">#REF!</definedName>
    <definedName name="tlibc" localSheetId="14">#REF!</definedName>
    <definedName name="tlibc" localSheetId="33">#REF!</definedName>
    <definedName name="tlibc" localSheetId="34">#REF!</definedName>
    <definedName name="tlibc" localSheetId="35">#REF!</definedName>
    <definedName name="tlibc" localSheetId="36">#REF!</definedName>
    <definedName name="tlibc" localSheetId="37">#REF!</definedName>
    <definedName name="tlibc" localSheetId="38">#REF!</definedName>
    <definedName name="tlibc" localSheetId="42">#REF!</definedName>
    <definedName name="tlibc">#REF!</definedName>
    <definedName name="tlibc_25" localSheetId="51">#REF!</definedName>
    <definedName name="tlibc_25">#REF!</definedName>
    <definedName name="tnom" localSheetId="51">#REF!</definedName>
    <definedName name="tnom" localSheetId="49">#REF!</definedName>
    <definedName name="tnom" localSheetId="50">#REF!</definedName>
    <definedName name="tnom" localSheetId="48">#REF!</definedName>
    <definedName name="tnom" localSheetId="10">#REF!</definedName>
    <definedName name="tnom" localSheetId="33">#REF!</definedName>
    <definedName name="tnom" localSheetId="34">#REF!</definedName>
    <definedName name="tnom" localSheetId="35">#REF!</definedName>
    <definedName name="tnom" localSheetId="36">#REF!</definedName>
    <definedName name="tnom" localSheetId="37">#REF!</definedName>
    <definedName name="tnom" localSheetId="38">#REF!</definedName>
    <definedName name="tnom" localSheetId="42">#REF!</definedName>
    <definedName name="tnom">#REF!</definedName>
    <definedName name="tnomm" localSheetId="51">#REF!</definedName>
    <definedName name="tnomm" localSheetId="49">#REF!</definedName>
    <definedName name="tnomm" localSheetId="50">#REF!</definedName>
    <definedName name="tnomm" localSheetId="48">#REF!</definedName>
    <definedName name="tnomm" localSheetId="10">#REF!</definedName>
    <definedName name="tnomm" localSheetId="33">#REF!</definedName>
    <definedName name="tnomm" localSheetId="34">#REF!</definedName>
    <definedName name="tnomm" localSheetId="35">#REF!</definedName>
    <definedName name="tnomm" localSheetId="36">#REF!</definedName>
    <definedName name="tnomm" localSheetId="37">#REF!</definedName>
    <definedName name="tnomm" localSheetId="38">#REF!</definedName>
    <definedName name="tnomm" localSheetId="42">#REF!</definedName>
    <definedName name="tnomm">#REF!</definedName>
    <definedName name="tnumetab" localSheetId="51">#REF!</definedName>
    <definedName name="tnumetab" localSheetId="49">#REF!</definedName>
    <definedName name="tnumetab" localSheetId="50">#REF!</definedName>
    <definedName name="tnumetab" localSheetId="48">#REF!</definedName>
    <definedName name="tnumetab" localSheetId="10">#REF!</definedName>
    <definedName name="tnumetab" localSheetId="33">#REF!</definedName>
    <definedName name="tnumetab" localSheetId="34">#REF!</definedName>
    <definedName name="tnumetab" localSheetId="35">#REF!</definedName>
    <definedName name="tnumetab" localSheetId="36">#REF!</definedName>
    <definedName name="tnumetab" localSheetId="37">#REF!</definedName>
    <definedName name="tnumetab" localSheetId="38">#REF!</definedName>
    <definedName name="tnumetab" localSheetId="42">#REF!</definedName>
    <definedName name="tnumetab">#REF!</definedName>
    <definedName name="tnumetab_25" localSheetId="51">#REF!</definedName>
    <definedName name="tnumetab_25">#REF!</definedName>
    <definedName name="tot_cr">[8]Feuil1!$A$2:$C$45</definedName>
    <definedName name="tot_cr_27" localSheetId="51">#REF!</definedName>
    <definedName name="tot_cr_27">#REF!</definedName>
    <definedName name="tot_dr">[8]Feuil1!$A$2:$B$45</definedName>
    <definedName name="tot_dr_27" localSheetId="51">#REF!</definedName>
    <definedName name="tot_dr_27">#REF!</definedName>
    <definedName name="total_aut">'[10]Intercalaire 1'!$K$37</definedName>
    <definedName name="totalagre" localSheetId="51">#REF!</definedName>
    <definedName name="totalagre" localSheetId="49">#REF!</definedName>
    <definedName name="totalagre" localSheetId="50">#REF!</definedName>
    <definedName name="totalagre" localSheetId="48">#REF!</definedName>
    <definedName name="totalagre" localSheetId="10">#REF!</definedName>
    <definedName name="totalagre" localSheetId="14">#REF!</definedName>
    <definedName name="totalagre" localSheetId="33">#REF!</definedName>
    <definedName name="totalagre" localSheetId="34">#REF!</definedName>
    <definedName name="totalagre" localSheetId="35">#REF!</definedName>
    <definedName name="totalagre" localSheetId="36">#REF!</definedName>
    <definedName name="totalagre" localSheetId="37">#REF!</definedName>
    <definedName name="totalagre" localSheetId="38">#REF!</definedName>
    <definedName name="totalagre" localSheetId="42">#REF!</definedName>
    <definedName name="totalagre">#REF!</definedName>
    <definedName name="totalaut" localSheetId="51">#REF!</definedName>
    <definedName name="totalaut" localSheetId="49">#REF!</definedName>
    <definedName name="totalaut" localSheetId="50">#REF!</definedName>
    <definedName name="totalaut" localSheetId="48">#REF!</definedName>
    <definedName name="totalaut" localSheetId="10">#REF!</definedName>
    <definedName name="totalaut" localSheetId="33">#REF!</definedName>
    <definedName name="totalaut" localSheetId="34">#REF!</definedName>
    <definedName name="totalaut" localSheetId="35">#REF!</definedName>
    <definedName name="totalaut" localSheetId="36">#REF!</definedName>
    <definedName name="totalaut" localSheetId="37">#REF!</definedName>
    <definedName name="totalaut" localSheetId="38">#REF!</definedName>
    <definedName name="totalaut" localSheetId="42">#REF!</definedName>
    <definedName name="totalaut">#REF!</definedName>
    <definedName name="totalcert" localSheetId="51">#REF!</definedName>
    <definedName name="totalcert" localSheetId="49">#REF!</definedName>
    <definedName name="totalcert" localSheetId="50">#REF!</definedName>
    <definedName name="totalcert" localSheetId="48">#REF!</definedName>
    <definedName name="totalcert" localSheetId="10">#REF!</definedName>
    <definedName name="totalcert" localSheetId="33">#REF!</definedName>
    <definedName name="totalcert" localSheetId="34">#REF!</definedName>
    <definedName name="totalcert" localSheetId="35">#REF!</definedName>
    <definedName name="totalcert" localSheetId="36">#REF!</definedName>
    <definedName name="totalcert" localSheetId="37">#REF!</definedName>
    <definedName name="totalcert" localSheetId="38">#REF!</definedName>
    <definedName name="totalcert" localSheetId="42">#REF!</definedName>
    <definedName name="totalcert">#REF!</definedName>
    <definedName name="totalfrance" localSheetId="51">#REF!</definedName>
    <definedName name="totalfrance" localSheetId="49">#REF!</definedName>
    <definedName name="totalfrance" localSheetId="50">#REF!</definedName>
    <definedName name="totalfrance" localSheetId="48">#REF!</definedName>
    <definedName name="totalfrance" localSheetId="10">#REF!</definedName>
    <definedName name="totalfrance" localSheetId="33">#REF!</definedName>
    <definedName name="totalfrance" localSheetId="34">#REF!</definedName>
    <definedName name="totalfrance" localSheetId="35">#REF!</definedName>
    <definedName name="totalfrance" localSheetId="36">#REF!</definedName>
    <definedName name="totalfrance" localSheetId="37">#REF!</definedName>
    <definedName name="totalfrance" localSheetId="38">#REF!</definedName>
    <definedName name="totalfrance" localSheetId="42">#REF!</definedName>
    <definedName name="totalfrance">#REF!</definedName>
    <definedName name="totalplp" localSheetId="51">#REF!</definedName>
    <definedName name="totalplp" localSheetId="49">#REF!</definedName>
    <definedName name="totalplp" localSheetId="50">#REF!</definedName>
    <definedName name="totalplp" localSheetId="48">#REF!</definedName>
    <definedName name="totalplp" localSheetId="10">#REF!</definedName>
    <definedName name="totalplp" localSheetId="33">#REF!</definedName>
    <definedName name="totalplp" localSheetId="34">#REF!</definedName>
    <definedName name="totalplp" localSheetId="35">#REF!</definedName>
    <definedName name="totalplp" localSheetId="36">#REF!</definedName>
    <definedName name="totalplp" localSheetId="37">#REF!</definedName>
    <definedName name="totalplp" localSheetId="38">#REF!</definedName>
    <definedName name="totalplp" localSheetId="42">#REF!</definedName>
    <definedName name="totalplp">#REF!</definedName>
    <definedName name="toto" localSheetId="51">'[15]TAB I'!#REF!</definedName>
    <definedName name="toto" localSheetId="49">'[15]TAB I'!#REF!</definedName>
    <definedName name="toto" localSheetId="50">'[15]TAB I'!#REF!</definedName>
    <definedName name="toto" localSheetId="48">'[15]TAB I'!#REF!</definedName>
    <definedName name="toto" localSheetId="0">'[15]TAB I'!#REF!</definedName>
    <definedName name="toto" localSheetId="10">'[15]TAB I'!#REF!</definedName>
    <definedName name="toto" localSheetId="14">'[15]TAB I'!#REF!</definedName>
    <definedName name="toto" localSheetId="33">'[15]TAB I'!#REF!</definedName>
    <definedName name="toto" localSheetId="34">'[15]TAB I'!#REF!</definedName>
    <definedName name="toto" localSheetId="35">'[15]TAB I'!#REF!</definedName>
    <definedName name="toto" localSheetId="36">'[15]TAB I'!#REF!</definedName>
    <definedName name="toto" localSheetId="37">'[15]TAB I'!#REF!</definedName>
    <definedName name="toto" localSheetId="38">'[15]TAB I'!#REF!</definedName>
    <definedName name="toto" localSheetId="42">'[15]TAB I'!#REF!</definedName>
    <definedName name="toto">'[15]TAB I'!#REF!</definedName>
    <definedName name="tprenom" localSheetId="51">#REF!</definedName>
    <definedName name="tprenom" localSheetId="49">#REF!</definedName>
    <definedName name="tprenom" localSheetId="50">#REF!</definedName>
    <definedName name="tprenom" localSheetId="48">#REF!</definedName>
    <definedName name="tprenom" localSheetId="10">#REF!</definedName>
    <definedName name="tprenom" localSheetId="33">#REF!</definedName>
    <definedName name="tprenom" localSheetId="34">#REF!</definedName>
    <definedName name="tprenom" localSheetId="35">#REF!</definedName>
    <definedName name="tprenom" localSheetId="36">#REF!</definedName>
    <definedName name="tprenom" localSheetId="37">#REF!</definedName>
    <definedName name="tprenom" localSheetId="38">#REF!</definedName>
    <definedName name="tprenom" localSheetId="42">#REF!</definedName>
    <definedName name="tprenom">#REF!</definedName>
    <definedName name="TPROMO">[16]Tables!$A$25:$B$28</definedName>
    <definedName name="TRACE1" localSheetId="51">'[1]Tab 1'!#REF!</definedName>
    <definedName name="TRACE1" localSheetId="49">'[1]Tab 1'!#REF!</definedName>
    <definedName name="TRACE1" localSheetId="50">'[1]Tab 1'!#REF!</definedName>
    <definedName name="TRACE1" localSheetId="48">'[1]Tab 1'!#REF!</definedName>
    <definedName name="TRACE1" localSheetId="0">'[1]Tab 1'!#REF!</definedName>
    <definedName name="TRACE1" localSheetId="10">'[1]Tab 1'!#REF!</definedName>
    <definedName name="TRACE1" localSheetId="14">'[1]Tab 1'!#REF!</definedName>
    <definedName name="TRACE1" localSheetId="33">'[1]Tab 1'!#REF!</definedName>
    <definedName name="TRACE1" localSheetId="34">'[1]Tab 1'!#REF!</definedName>
    <definedName name="TRACE1" localSheetId="35">'[1]Tab 1'!#REF!</definedName>
    <definedName name="TRACE1" localSheetId="36">'[1]Tab 1'!#REF!</definedName>
    <definedName name="TRACE1" localSheetId="37">'[1]Tab 1'!#REF!</definedName>
    <definedName name="TRACE1" localSheetId="38">'[1]Tab 1'!#REF!</definedName>
    <definedName name="TRACE1" localSheetId="42">'[1]Tab 1'!#REF!</definedName>
    <definedName name="TRACE1">'[1]Tab 1'!#REF!</definedName>
    <definedName name="TRACE2" localSheetId="51">'[1]Tab 1'!#REF!</definedName>
    <definedName name="TRACE2" localSheetId="49">'[1]Tab 1'!#REF!</definedName>
    <definedName name="TRACE2" localSheetId="50">'[1]Tab 1'!#REF!</definedName>
    <definedName name="TRACE2" localSheetId="48">'[1]Tab 1'!#REF!</definedName>
    <definedName name="TRACE2" localSheetId="0">'[1]Tab 1'!#REF!</definedName>
    <definedName name="TRACE2" localSheetId="10">'[1]Tab 1'!#REF!</definedName>
    <definedName name="TRACE2" localSheetId="33">'[1]Tab 1'!#REF!</definedName>
    <definedName name="TRACE2" localSheetId="34">'[1]Tab 1'!#REF!</definedName>
    <definedName name="TRACE2" localSheetId="35">'[1]Tab 1'!#REF!</definedName>
    <definedName name="TRACE2" localSheetId="36">'[1]Tab 1'!#REF!</definedName>
    <definedName name="TRACE2" localSheetId="37">'[1]Tab 1'!#REF!</definedName>
    <definedName name="TRACE2" localSheetId="38">'[1]Tab 1'!#REF!</definedName>
    <definedName name="TRACE2" localSheetId="42">'[1]Tab 1'!#REF!</definedName>
    <definedName name="TRACE2">'[1]Tab 1'!#REF!</definedName>
    <definedName name="Ttypepromo">[16]Tables!$A$52:$B$54</definedName>
    <definedName name="vv">[8]Section!$A$2:$B$43</definedName>
    <definedName name="xxxx">[17]x!$A$1:$C$58</definedName>
    <definedName name="xxxx_25" localSheetId="51">#REF!</definedName>
    <definedName name="xxxx_25">#REF!</definedName>
    <definedName name="_xlnm.Print_Area" localSheetId="51">'attractivite mcf etabt'!$A$1:$N$153</definedName>
    <definedName name="_xlnm.Print_Area" localSheetId="49">'attractivite pr'!$A$1:$O$66</definedName>
    <definedName name="_xlnm.Print_Area" localSheetId="50">'attractivite pr etabt'!$A$1:$N$142</definedName>
    <definedName name="_xlnm.Print_Area" localSheetId="48">'attractivte mcf'!$A$8:$L$67</definedName>
    <definedName name="_xlnm.Print_Area" localSheetId="0">PG_0!$A$1:$I$52</definedName>
    <definedName name="_xlnm.Print_Area" localSheetId="8">'PG_D&amp;M'!$A$1:$I$60</definedName>
    <definedName name="_xlnm.Print_Area" localSheetId="17">PG_REC!$A$1:$I$55</definedName>
    <definedName name="_xlnm.Print_Area" localSheetId="32">PG_REC_MCF!$A$1:$I$54</definedName>
    <definedName name="_xlnm.Print_Area" localSheetId="40">PG_REC_NON_POURVUS!$A$1:$I$54</definedName>
    <definedName name="_xlnm.Print_Area" localSheetId="22">PG_REC_PR!$A$1:$I$52</definedName>
    <definedName name="_xlnm.Print_Area" localSheetId="45">PG_TABLES!$A$1:$I$51</definedName>
    <definedName name="_xlnm.Print_Area" localSheetId="9">'TAB I det mut'!$A$1:$F$23</definedName>
    <definedName name="_xlnm.Print_Area" localSheetId="10">'TAB I-a mcf 26-I-1'!$A$1:$F$67</definedName>
    <definedName name="_xlnm.Print_Area" localSheetId="11">'TAB I-b pr 46-1'!$A$1:$F$66</definedName>
    <definedName name="_xlnm.Print_Area" localSheetId="12">'TAB I-c pr 51'!$A$1:$F$18</definedName>
    <definedName name="_xlnm.Print_Area" localSheetId="13">'TAB I-d pr geo'!$A$1:$AB$57</definedName>
    <definedName name="_xlnm.Print_Area" localSheetId="14">'TAB I-e mcf geo'!$A$1:$AB$66</definedName>
    <definedName name="_xlnm.Print_Area" localSheetId="15">'TAB I-f pr+mcf geo'!$A$1:$AD$41</definedName>
    <definedName name="_xlnm.Print_Area" localSheetId="16">'TAB I-g solde mut'!$A$1:$AH$39</definedName>
    <definedName name="_xlnm.Print_Area" localSheetId="18">'TAB II taux couv global'!$A$1:$E$29</definedName>
    <definedName name="_xlnm.Print_Area" localSheetId="19">'TAB II-a taux couv sections'!$A$1:$J$72</definedName>
    <definedName name="_xlnm.Print_Area" localSheetId="20">'TAB II-b taux couv qualif'!$A$1:$J$71</definedName>
    <definedName name="_xlnm.Print_Area" localSheetId="21">'TAB II-c ratios qualif post'!$A$1:$H$70</definedName>
    <definedName name="_xlnm.Print_Area" localSheetId="23">'TAB III-a pr 46-1'!$A$1:$F$62</definedName>
    <definedName name="_xlnm.Print_Area" localSheetId="24">'TAB III-b pr 46-3'!$A$1:$F$36</definedName>
    <definedName name="_xlnm.Print_Area" localSheetId="25">'TAB III-c pr 46-4'!$A$1:$F$14</definedName>
    <definedName name="_xlnm.Print_Area" localSheetId="26">'TAB III-d pr mcf geo'!$A$2:$AC$84</definedName>
    <definedName name="_xlnm.Print_Area" localSheetId="27">'TAB III-e pr agreg ext'!$A$1:$J$21</definedName>
    <definedName name="_xlnm.Print_Area" localSheetId="28">'TAB III-f pr bilan qualif'!$A$1:$E$72</definedName>
    <definedName name="_xlnm.Print_Area" localSheetId="29">'TAB III-g pr qualif sexe'!$A$1:$K$74</definedName>
    <definedName name="_xlnm.Print_Area" localSheetId="30">'TAB III-h pr qualif nommé'!$A$1:$J$62</definedName>
    <definedName name="_xlnm.Print_Area" localSheetId="31">'TAB III-i pr réussite qualif'!$A$1:$G$69</definedName>
    <definedName name="_xlnm.Print_Area" localSheetId="33">'TAB IV-a mcf 26-I-1'!$A$1:$F$67</definedName>
    <definedName name="_xlnm.Print_Area" localSheetId="34">'TAB IV-b mcf 26-I-2 et 26-I-3'!$A$1:$F$30</definedName>
    <definedName name="_xlnm.Print_Area" localSheetId="35">'TAB IV-c mcf bilan qualif'!$A$1:$E$70</definedName>
    <definedName name="_xlnm.Print_Area" localSheetId="36">'TAB IV-d mcf qualif sexe'!$A$1:$K$74</definedName>
    <definedName name="_xlnm.Print_Area" localSheetId="37">'TAB IV-e mcf qualif nommé'!$A$1:$J$69</definedName>
    <definedName name="_xlnm.Print_Area" localSheetId="38">'TAB IV-f mcf réussite qualif'!$A$2:$G$70</definedName>
    <definedName name="_xlnm.Print_Area" localSheetId="39">'TAB IV-g mcf attractivité'!$A$1:$I$69</definedName>
    <definedName name="_xlnm.Print_Area" localSheetId="1">'TAB S-1 sync et fil'!$A$1:$I$28</definedName>
    <definedName name="_xlnm.Print_Area" localSheetId="2">'TAB S-2 sync'!$A$1:$H$27</definedName>
    <definedName name="_xlnm.Print_Area" localSheetId="3">'TAB S-3 fil eau'!$A$1:$I$25</definedName>
    <definedName name="_xlnm.Print_Area" localSheetId="4">'TAB S-4 étabs'!$D$1:$AH$171</definedName>
    <definedName name="_xlnm.Print_Area" localSheetId="5">'TAB S-5 cand pr mcf'!$A$1:$L$36</definedName>
    <definedName name="_xlnm.Print_Area" localSheetId="6">'tab S-5a cand nommés'!$A$1:$G$62</definedName>
    <definedName name="_xlnm.Print_Area" localSheetId="7">'tab S-5b cand nommés sect'!$A$1:$N$43</definedName>
    <definedName name="_xlnm.Print_Area" localSheetId="41">'TAB V bilan non pourvus'!$A$1:$J$24</definedName>
    <definedName name="_xlnm.Print_Area" localSheetId="42">'TAB V-a mcf 26-I-1'!$A$1:$K$33</definedName>
    <definedName name="_xlnm.Print_Area" localSheetId="43">'TAB V-b pr 46-1'!$A$1:$J$32</definedName>
    <definedName name="_xlnm.Print_Area" localSheetId="44">'TAB V-c pr 46-4 et 51'!$A$1:$F$28</definedName>
    <definedName name="_xlnm.Print_Area" localSheetId="46">tabgrp!$A$1:$E$58</definedName>
  </definedNames>
  <calcPr calcId="125725" calcMode="manual"/>
</workbook>
</file>

<file path=xl/calcChain.xml><?xml version="1.0" encoding="utf-8"?>
<calcChain xmlns="http://schemas.openxmlformats.org/spreadsheetml/2006/main">
  <c r="K29" i="155"/>
  <c r="K31" s="1"/>
  <c r="E31"/>
  <c r="D66" i="159"/>
  <c r="G66"/>
  <c r="C66"/>
  <c r="H66" s="1"/>
  <c r="C66" i="143"/>
  <c r="E29" i="148"/>
  <c r="F67" i="130"/>
  <c r="G67" s="1"/>
  <c r="E67"/>
  <c r="G29"/>
  <c r="F58" i="129"/>
  <c r="F59" s="1"/>
  <c r="E58"/>
  <c r="I29"/>
  <c r="I58" s="1"/>
  <c r="F43" i="79"/>
  <c r="F72" s="1"/>
  <c r="E43"/>
  <c r="E72" s="1"/>
  <c r="F29"/>
  <c r="E29" i="128"/>
  <c r="A2" i="36"/>
  <c r="F29" i="122"/>
  <c r="F67" i="121"/>
  <c r="H67" s="1"/>
  <c r="E67"/>
  <c r="E59"/>
  <c r="H29"/>
  <c r="E29"/>
  <c r="E68" i="120"/>
  <c r="F68" s="1"/>
  <c r="F29"/>
  <c r="E69" i="119"/>
  <c r="E70" s="1"/>
  <c r="F29"/>
  <c r="F29" i="146"/>
  <c r="E29"/>
  <c r="F65" i="111"/>
  <c r="F66" s="1"/>
  <c r="J29" i="131"/>
  <c r="L29" s="1"/>
  <c r="I29"/>
  <c r="K29" s="1"/>
  <c r="F30"/>
  <c r="E30"/>
  <c r="D30"/>
  <c r="J30" s="1"/>
  <c r="L30" s="1"/>
  <c r="C30"/>
  <c r="I30" s="1"/>
  <c r="K30" s="1"/>
  <c r="B30"/>
  <c r="E66" i="159"/>
  <c r="I29"/>
  <c r="H29"/>
  <c r="G61" i="154"/>
  <c r="E66" i="147"/>
  <c r="F65"/>
  <c r="E65"/>
  <c r="F61"/>
  <c r="F59"/>
  <c r="F29"/>
  <c r="E29" i="151"/>
  <c r="F65" i="153"/>
  <c r="E65"/>
  <c r="I29"/>
  <c r="G67" i="154"/>
  <c r="F67"/>
  <c r="E67"/>
  <c r="G29"/>
  <c r="A27" i="87"/>
  <c r="F29" i="36"/>
  <c r="E34"/>
  <c r="E59" i="129" l="1"/>
  <c r="D59"/>
  <c r="J58"/>
  <c r="G59"/>
  <c r="J29"/>
  <c r="F69" i="119"/>
  <c r="A61" i="132"/>
  <c r="D1" i="134"/>
  <c r="A1" i="105"/>
  <c r="A1" i="104"/>
  <c r="A2" i="103"/>
  <c r="B24" i="118"/>
  <c r="B24" i="134"/>
  <c r="B24" i="104"/>
  <c r="B24" i="103"/>
  <c r="B25" i="115"/>
  <c r="B25" i="134"/>
  <c r="B25" i="104"/>
  <c r="E27" i="151"/>
  <c r="E27" i="128"/>
  <c r="E27" i="122"/>
  <c r="E27" i="121"/>
  <c r="E27" i="119"/>
  <c r="A16" i="131"/>
  <c r="A17" i="106"/>
  <c r="A18" i="52"/>
  <c r="A18" i="112"/>
  <c r="I29" i="14"/>
  <c r="F20" i="36"/>
  <c r="F21"/>
  <c r="F22"/>
  <c r="F23"/>
  <c r="F24"/>
  <c r="F25"/>
  <c r="F26"/>
  <c r="F27"/>
  <c r="F28"/>
  <c r="F30"/>
  <c r="F31"/>
  <c r="F32"/>
  <c r="M31" i="34" l="1"/>
  <c r="P27" i="159"/>
  <c r="N56"/>
  <c r="AL70" i="117"/>
  <c r="AJ83"/>
  <c r="AH83"/>
  <c r="N25" i="36"/>
  <c r="K22"/>
  <c r="AH79" i="117"/>
  <c r="AJ78"/>
  <c r="O58" i="122"/>
  <c r="L60"/>
  <c r="R28"/>
  <c r="N36"/>
  <c r="N13" i="112"/>
  <c r="Q29" i="14"/>
  <c r="M9"/>
  <c r="R26"/>
  <c r="R23"/>
  <c r="M27"/>
  <c r="R21"/>
  <c r="N27"/>
  <c r="N26"/>
  <c r="P18"/>
  <c r="N16"/>
  <c r="Q27" i="147"/>
  <c r="O19"/>
  <c r="O16"/>
  <c r="O12"/>
  <c r="O9"/>
  <c r="L16"/>
  <c r="N12"/>
  <c r="M12"/>
  <c r="L12"/>
  <c r="L9"/>
  <c r="V17" i="155"/>
  <c r="V16"/>
  <c r="V14"/>
  <c r="P24"/>
  <c r="R19"/>
  <c r="R16"/>
  <c r="R12"/>
  <c r="P12"/>
  <c r="P17"/>
  <c r="R11" i="34"/>
  <c r="S21"/>
  <c r="S17"/>
  <c r="P20"/>
  <c r="Q13"/>
  <c r="M17"/>
  <c r="Q22"/>
  <c r="O22"/>
  <c r="O20"/>
  <c r="O17"/>
  <c r="N14"/>
  <c r="O13"/>
  <c r="M36" i="159"/>
  <c r="M15"/>
  <c r="M11"/>
  <c r="M68"/>
  <c r="M66"/>
  <c r="H63"/>
  <c r="I63"/>
  <c r="C64"/>
  <c r="H64" s="1"/>
  <c r="G64"/>
  <c r="I64"/>
  <c r="H65"/>
  <c r="I65"/>
  <c r="I66"/>
  <c r="I11"/>
  <c r="I12"/>
  <c r="I13"/>
  <c r="I15"/>
  <c r="I16"/>
  <c r="I19"/>
  <c r="I21"/>
  <c r="I22"/>
  <c r="I23"/>
  <c r="I24"/>
  <c r="I25"/>
  <c r="I27"/>
  <c r="I28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50"/>
  <c r="I51"/>
  <c r="I52"/>
  <c r="I53"/>
  <c r="I54"/>
  <c r="I55"/>
  <c r="I56"/>
  <c r="I57"/>
  <c r="I59"/>
  <c r="I60"/>
  <c r="I62"/>
  <c r="I10"/>
  <c r="P48"/>
  <c r="H11"/>
  <c r="H12"/>
  <c r="H13"/>
  <c r="H14"/>
  <c r="H15"/>
  <c r="H16"/>
  <c r="H17"/>
  <c r="H19"/>
  <c r="H21"/>
  <c r="H22"/>
  <c r="H23"/>
  <c r="H24"/>
  <c r="H25"/>
  <c r="H26"/>
  <c r="H28"/>
  <c r="H30"/>
  <c r="H32"/>
  <c r="H33"/>
  <c r="H34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61"/>
  <c r="H62"/>
  <c r="H10"/>
  <c r="G58"/>
  <c r="I58" s="1"/>
  <c r="G61"/>
  <c r="I61" s="1"/>
  <c r="G35"/>
  <c r="G31"/>
  <c r="G27"/>
  <c r="G26"/>
  <c r="I26" s="1"/>
  <c r="G20"/>
  <c r="I20" s="1"/>
  <c r="G18"/>
  <c r="I18" s="1"/>
  <c r="G17"/>
  <c r="I17" s="1"/>
  <c r="I69" i="143"/>
  <c r="D49" i="159"/>
  <c r="I49" s="1"/>
  <c r="D15"/>
  <c r="D14"/>
  <c r="I14" s="1"/>
  <c r="C58"/>
  <c r="H58" s="1"/>
  <c r="C61"/>
  <c r="C35"/>
  <c r="H35" s="1"/>
  <c r="C31"/>
  <c r="H31" s="1"/>
  <c r="C27"/>
  <c r="H27" s="1"/>
  <c r="C26"/>
  <c r="C20"/>
  <c r="H20" s="1"/>
  <c r="C18"/>
  <c r="H18" s="1"/>
  <c r="C17"/>
  <c r="M38" i="154" l="1"/>
  <c r="E60" i="122" l="1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8"/>
  <c r="E26"/>
  <c r="E25"/>
  <c r="E24"/>
  <c r="E23"/>
  <c r="E22"/>
  <c r="E21"/>
  <c r="E20"/>
  <c r="E19"/>
  <c r="E18"/>
  <c r="E17"/>
  <c r="E16"/>
  <c r="E15"/>
  <c r="E61" s="1"/>
  <c r="I67" i="119" l="1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8"/>
  <c r="E26"/>
  <c r="E25"/>
  <c r="E24"/>
  <c r="E23"/>
  <c r="E22"/>
  <c r="E21"/>
  <c r="E20"/>
  <c r="E19"/>
  <c r="E18"/>
  <c r="E17"/>
  <c r="E16"/>
  <c r="E15"/>
  <c r="E14"/>
  <c r="E13"/>
  <c r="E12"/>
  <c r="E11"/>
  <c r="N49" i="154"/>
  <c r="L49"/>
  <c r="Q39" i="153"/>
  <c r="Y19" i="131"/>
  <c r="T40"/>
  <c r="J10" i="148"/>
  <c r="M41" i="147"/>
  <c r="P23" i="130"/>
  <c r="N25"/>
  <c r="N21"/>
  <c r="N52"/>
  <c r="N50"/>
  <c r="N61" i="129"/>
  <c r="T62"/>
  <c r="O62"/>
  <c r="U32" i="131"/>
  <c r="V8"/>
  <c r="V40"/>
  <c r="T13" i="52"/>
  <c r="T12"/>
  <c r="T11"/>
  <c r="M13"/>
  <c r="M11"/>
  <c r="P18"/>
  <c r="N20"/>
  <c r="R13"/>
  <c r="Q13"/>
  <c r="R12"/>
  <c r="Q12"/>
  <c r="R11"/>
  <c r="Q11"/>
  <c r="N15"/>
  <c r="N14"/>
  <c r="AH78" i="117"/>
  <c r="AH71"/>
  <c r="L26" i="123"/>
  <c r="Q52" i="122"/>
  <c r="Q46"/>
  <c r="L57" i="121"/>
  <c r="L52"/>
  <c r="O55"/>
  <c r="O51"/>
  <c r="AI22" i="115"/>
  <c r="AI15"/>
  <c r="Z38" i="131"/>
  <c r="Z34"/>
  <c r="Z29"/>
  <c r="G64" i="132"/>
  <c r="G11"/>
  <c r="G10"/>
  <c r="K14" i="106"/>
  <c r="K22" i="112"/>
  <c r="J15"/>
  <c r="H42" i="131"/>
  <c r="O39"/>
  <c r="O37"/>
  <c r="T22"/>
  <c r="AB27"/>
  <c r="Y25"/>
  <c r="V19"/>
  <c r="T12"/>
  <c r="W28"/>
  <c r="U36"/>
  <c r="Q41"/>
  <c r="Q38"/>
  <c r="O32"/>
  <c r="AB145" i="134"/>
  <c r="AA145"/>
  <c r="AB10"/>
  <c r="AA10"/>
  <c r="N20" i="104"/>
  <c r="O27" i="131"/>
  <c r="R19"/>
  <c r="Q14"/>
  <c r="J46" i="132"/>
  <c r="C64"/>
  <c r="B64"/>
  <c r="J38"/>
  <c r="R27" i="131"/>
  <c r="F11" i="145"/>
  <c r="F12"/>
  <c r="F13"/>
  <c r="F14"/>
  <c r="F15"/>
  <c r="F16"/>
  <c r="F17"/>
  <c r="F18"/>
  <c r="F19"/>
  <c r="F20"/>
  <c r="F21"/>
  <c r="F22"/>
  <c r="F23"/>
  <c r="F24"/>
  <c r="F25"/>
  <c r="F26"/>
  <c r="F27"/>
  <c r="F28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10"/>
  <c r="B15" i="118"/>
  <c r="B10"/>
  <c r="W35" i="115"/>
  <c r="F18" i="103"/>
  <c r="B18"/>
  <c r="E21"/>
  <c r="D21"/>
  <c r="B21"/>
  <c r="F17"/>
  <c r="B17"/>
  <c r="F16"/>
  <c r="E16"/>
  <c r="D16"/>
  <c r="B16"/>
  <c r="F12"/>
  <c r="E12"/>
  <c r="D12"/>
  <c r="B12"/>
  <c r="B11"/>
  <c r="F11"/>
  <c r="E11"/>
  <c r="D11"/>
  <c r="C17" i="105"/>
  <c r="D17"/>
  <c r="H11" i="103" l="1"/>
  <c r="F19" i="36"/>
  <c r="F18"/>
  <c r="M13" i="104"/>
  <c r="Z65" i="143"/>
  <c r="M153" i="157"/>
  <c r="L153"/>
  <c r="N153" s="1"/>
  <c r="J153"/>
  <c r="I153"/>
  <c r="K153" s="1"/>
  <c r="B153"/>
  <c r="A2"/>
  <c r="M142" i="156"/>
  <c r="L142"/>
  <c r="N142" s="1"/>
  <c r="E142"/>
  <c r="E140"/>
  <c r="E139"/>
  <c r="E138"/>
  <c r="E137"/>
  <c r="E136"/>
  <c r="E135"/>
  <c r="E134"/>
  <c r="E133"/>
  <c r="E132"/>
  <c r="E131"/>
  <c r="E130"/>
  <c r="E129"/>
  <c r="E128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2"/>
  <c r="E91"/>
  <c r="E90"/>
  <c r="E89"/>
  <c r="E88"/>
  <c r="E87"/>
  <c r="E86"/>
  <c r="E85"/>
  <c r="E84"/>
  <c r="E83"/>
  <c r="E82"/>
  <c r="E81"/>
  <c r="E80"/>
  <c r="E79"/>
  <c r="E78"/>
  <c r="E77"/>
  <c r="E75"/>
  <c r="E74"/>
  <c r="E73"/>
  <c r="E72"/>
  <c r="E71"/>
  <c r="E70"/>
  <c r="E69"/>
  <c r="E68"/>
  <c r="E67"/>
  <c r="E66"/>
  <c r="E65"/>
  <c r="E64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D27"/>
  <c r="C27"/>
  <c r="B27"/>
  <c r="E26"/>
  <c r="E24"/>
  <c r="E23"/>
  <c r="E27" s="1"/>
  <c r="E22"/>
  <c r="E21"/>
  <c r="D18"/>
  <c r="C18"/>
  <c r="B18"/>
  <c r="E17"/>
  <c r="E16"/>
  <c r="D15"/>
  <c r="C15"/>
  <c r="B15"/>
  <c r="E14"/>
  <c r="E13"/>
  <c r="E12"/>
  <c r="E11"/>
  <c r="A2"/>
  <c r="F64" i="14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E65"/>
  <c r="D65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K65"/>
  <c r="J65"/>
  <c r="G11" i="103" l="1"/>
  <c r="M11"/>
  <c r="E15" i="156"/>
  <c r="E18"/>
  <c r="AC80" i="117"/>
  <c r="AH36" i="116"/>
  <c r="AH32"/>
  <c r="AH28"/>
  <c r="AH24"/>
  <c r="AH20"/>
  <c r="AH16"/>
  <c r="AH12"/>
  <c r="AH37"/>
  <c r="AH35"/>
  <c r="AH34"/>
  <c r="AH33"/>
  <c r="AH31"/>
  <c r="AH30"/>
  <c r="AH29"/>
  <c r="AH27"/>
  <c r="AH26"/>
  <c r="AH25"/>
  <c r="AH23"/>
  <c r="AH22"/>
  <c r="AH21"/>
  <c r="AH19"/>
  <c r="AH18"/>
  <c r="AH17"/>
  <c r="AH15"/>
  <c r="AH14"/>
  <c r="AH13"/>
  <c r="AH11"/>
  <c r="AH10"/>
  <c r="AH9"/>
  <c r="AG37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9"/>
  <c r="B65" i="146" l="1"/>
  <c r="AB63"/>
  <c r="AB62"/>
  <c r="AB61"/>
  <c r="AB60"/>
  <c r="AB59"/>
  <c r="AB58"/>
  <c r="AB57"/>
  <c r="AB56"/>
  <c r="AB55"/>
  <c r="AB54"/>
  <c r="AB53"/>
  <c r="AB52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Z64"/>
  <c r="AA64"/>
  <c r="C64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Z51"/>
  <c r="AA51"/>
  <c r="C51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D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C29"/>
  <c r="AA17" i="113"/>
  <c r="AA18"/>
  <c r="AA19"/>
  <c r="AA20"/>
  <c r="AA21"/>
  <c r="AA22"/>
  <c r="AA23"/>
  <c r="AA24"/>
  <c r="AA25"/>
  <c r="AA26"/>
  <c r="AA31"/>
  <c r="F23" i="101"/>
  <c r="E31" i="14"/>
  <c r="I30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K30" i="155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D31"/>
  <c r="F31"/>
  <c r="G31"/>
  <c r="H31"/>
  <c r="I31"/>
  <c r="J31"/>
  <c r="C31"/>
  <c r="I63" i="153"/>
  <c r="I62"/>
  <c r="I61"/>
  <c r="I60"/>
  <c r="J60" s="1"/>
  <c r="I59"/>
  <c r="I58"/>
  <c r="J58" s="1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J44"/>
  <c r="E61" i="151"/>
  <c r="E28" i="148"/>
  <c r="D28"/>
  <c r="C28"/>
  <c r="F28" s="1"/>
  <c r="F27"/>
  <c r="J42" i="129"/>
  <c r="J43"/>
  <c r="J44"/>
  <c r="J45"/>
  <c r="J39"/>
  <c r="J40"/>
  <c r="J38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AB64" i="146" l="1"/>
  <c r="AB51"/>
  <c r="AB29"/>
  <c r="D29" i="148"/>
  <c r="G69" i="119" l="1"/>
  <c r="H69"/>
  <c r="I69"/>
  <c r="C22" i="118"/>
  <c r="B22"/>
  <c r="C13"/>
  <c r="B13"/>
  <c r="D12"/>
  <c r="D11"/>
  <c r="D21"/>
  <c r="D20"/>
  <c r="D17"/>
  <c r="D16"/>
  <c r="D15"/>
  <c r="AD11" i="134"/>
  <c r="AE11"/>
  <c r="AF11"/>
  <c r="AG11"/>
  <c r="AH11"/>
  <c r="AC11"/>
  <c r="AC10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E14"/>
  <c r="AD10"/>
  <c r="AE10"/>
  <c r="AF10"/>
  <c r="AC12"/>
  <c r="AD12"/>
  <c r="AE12"/>
  <c r="AF12"/>
  <c r="AC13"/>
  <c r="AD13"/>
  <c r="AE13"/>
  <c r="AF13"/>
  <c r="C20" i="105"/>
  <c r="B20"/>
  <c r="G19"/>
  <c r="G20" s="1"/>
  <c r="F18"/>
  <c r="E17"/>
  <c r="E21" s="1"/>
  <c r="D21"/>
  <c r="C21"/>
  <c r="B17"/>
  <c r="G16"/>
  <c r="H16" s="1"/>
  <c r="H15"/>
  <c r="F15"/>
  <c r="G14"/>
  <c r="F14" s="1"/>
  <c r="F13"/>
  <c r="E12"/>
  <c r="D12"/>
  <c r="C12"/>
  <c r="B12"/>
  <c r="G11"/>
  <c r="F11"/>
  <c r="G10"/>
  <c r="F10" i="104"/>
  <c r="H11"/>
  <c r="D22" i="118" l="1"/>
  <c r="F16" i="105"/>
  <c r="G12"/>
  <c r="F12" s="1"/>
  <c r="F10"/>
  <c r="H10"/>
  <c r="G17"/>
  <c r="F17" s="1"/>
  <c r="D22"/>
  <c r="H14"/>
  <c r="E22"/>
  <c r="I70" i="119"/>
  <c r="H70"/>
  <c r="H20" i="105"/>
  <c r="F20"/>
  <c r="C22"/>
  <c r="F19"/>
  <c r="B21"/>
  <c r="H19"/>
  <c r="H12" i="103"/>
  <c r="C18" i="118"/>
  <c r="D18"/>
  <c r="B18"/>
  <c r="H12" i="105" l="1"/>
  <c r="I12" i="103"/>
  <c r="G12"/>
  <c r="H17" i="105"/>
  <c r="G21"/>
  <c r="G22" s="1"/>
  <c r="B22"/>
  <c r="F21" l="1"/>
  <c r="F22"/>
  <c r="H21"/>
  <c r="H22"/>
  <c r="D11" i="106" l="1"/>
  <c r="C11"/>
  <c r="B11"/>
  <c r="G16" i="104"/>
  <c r="E23" i="103"/>
  <c r="D23"/>
  <c r="E22"/>
  <c r="D22"/>
  <c r="F21"/>
  <c r="F24" s="1"/>
  <c r="F20"/>
  <c r="E20"/>
  <c r="D20"/>
  <c r="E18"/>
  <c r="D18"/>
  <c r="E17"/>
  <c r="D17"/>
  <c r="F15"/>
  <c r="E15"/>
  <c r="D15"/>
  <c r="E13"/>
  <c r="E14" s="1"/>
  <c r="D13"/>
  <c r="A35" i="36"/>
  <c r="W68" i="143"/>
  <c r="W67"/>
  <c r="A26" i="104"/>
  <c r="D19" i="103" l="1"/>
  <c r="F19"/>
  <c r="F25" s="1"/>
  <c r="D14"/>
  <c r="H13"/>
  <c r="E24"/>
  <c r="E19"/>
  <c r="D24"/>
  <c r="F14"/>
  <c r="X9" i="116"/>
  <c r="Y9"/>
  <c r="Z9"/>
  <c r="AA9"/>
  <c r="AB9"/>
  <c r="AC9"/>
  <c r="AD9"/>
  <c r="AE9"/>
  <c r="AF9"/>
  <c r="C65" i="144"/>
  <c r="F65"/>
  <c r="F65" i="143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E66"/>
  <c r="D66"/>
  <c r="E25" i="103" l="1"/>
  <c r="F66" i="143"/>
  <c r="D25" i="103"/>
  <c r="D67" i="154"/>
  <c r="C67"/>
  <c r="G65"/>
  <c r="G64"/>
  <c r="G63"/>
  <c r="G62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H65" i="153"/>
  <c r="G65"/>
  <c r="Q44"/>
  <c r="D65"/>
  <c r="C65"/>
  <c r="J63"/>
  <c r="J62"/>
  <c r="J61"/>
  <c r="J59"/>
  <c r="J57"/>
  <c r="J56"/>
  <c r="J55"/>
  <c r="J54"/>
  <c r="J53"/>
  <c r="J52"/>
  <c r="J51"/>
  <c r="J50"/>
  <c r="J49"/>
  <c r="J48"/>
  <c r="J47"/>
  <c r="J46"/>
  <c r="J45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I8"/>
  <c r="I65" s="1"/>
  <c r="I72" i="152"/>
  <c r="H72"/>
  <c r="G72"/>
  <c r="F72"/>
  <c r="E72"/>
  <c r="D72"/>
  <c r="D67" i="151"/>
  <c r="E67" s="1"/>
  <c r="C67"/>
  <c r="E65"/>
  <c r="E64"/>
  <c r="E63"/>
  <c r="E62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8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19" i="148"/>
  <c r="F19" s="1"/>
  <c r="D19"/>
  <c r="C19"/>
  <c r="F18"/>
  <c r="F17"/>
  <c r="F16"/>
  <c r="F15"/>
  <c r="F14"/>
  <c r="F13"/>
  <c r="F12"/>
  <c r="F11"/>
  <c r="F10"/>
  <c r="D65" i="147"/>
  <c r="C65"/>
  <c r="F64"/>
  <c r="F63"/>
  <c r="F62"/>
  <c r="F60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E66" i="145"/>
  <c r="F66" s="1"/>
  <c r="F67" s="1"/>
  <c r="D66"/>
  <c r="C66"/>
  <c r="Z45" i="113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D45"/>
  <c r="C45"/>
  <c r="A66" i="144"/>
  <c r="N65"/>
  <c r="M65"/>
  <c r="O64"/>
  <c r="L64"/>
  <c r="I64"/>
  <c r="O63"/>
  <c r="L63"/>
  <c r="I63"/>
  <c r="O62"/>
  <c r="I62"/>
  <c r="O61"/>
  <c r="I61"/>
  <c r="O60"/>
  <c r="I60"/>
  <c r="O59"/>
  <c r="I59"/>
  <c r="O58"/>
  <c r="I58"/>
  <c r="O57"/>
  <c r="I57"/>
  <c r="O56"/>
  <c r="I56"/>
  <c r="O55"/>
  <c r="I55"/>
  <c r="O54"/>
  <c r="I54"/>
  <c r="O53"/>
  <c r="I53"/>
  <c r="O52"/>
  <c r="I52"/>
  <c r="O51"/>
  <c r="I51"/>
  <c r="O50"/>
  <c r="I50"/>
  <c r="O49"/>
  <c r="I49"/>
  <c r="O48"/>
  <c r="I48"/>
  <c r="O47"/>
  <c r="I47"/>
  <c r="O46"/>
  <c r="I46"/>
  <c r="O45"/>
  <c r="I45"/>
  <c r="O44"/>
  <c r="I44"/>
  <c r="O43"/>
  <c r="I43"/>
  <c r="O42"/>
  <c r="I42"/>
  <c r="O41"/>
  <c r="I41"/>
  <c r="O40"/>
  <c r="I40"/>
  <c r="O39"/>
  <c r="I39"/>
  <c r="O38"/>
  <c r="I38"/>
  <c r="O37"/>
  <c r="I37"/>
  <c r="O36"/>
  <c r="I36"/>
  <c r="O35"/>
  <c r="I35"/>
  <c r="O34"/>
  <c r="I34"/>
  <c r="O33"/>
  <c r="I33"/>
  <c r="O32"/>
  <c r="I32"/>
  <c r="O31"/>
  <c r="I31"/>
  <c r="O30"/>
  <c r="I30"/>
  <c r="O29"/>
  <c r="I29"/>
  <c r="O28"/>
  <c r="I28"/>
  <c r="O27"/>
  <c r="I27"/>
  <c r="O26"/>
  <c r="I26"/>
  <c r="O25"/>
  <c r="I25"/>
  <c r="O24"/>
  <c r="I24"/>
  <c r="O23"/>
  <c r="I23"/>
  <c r="O22"/>
  <c r="I22"/>
  <c r="O21"/>
  <c r="I21"/>
  <c r="O20"/>
  <c r="I20"/>
  <c r="O19"/>
  <c r="I19"/>
  <c r="O18"/>
  <c r="I18"/>
  <c r="O17"/>
  <c r="I17"/>
  <c r="O16"/>
  <c r="I16"/>
  <c r="O15"/>
  <c r="I15"/>
  <c r="O14"/>
  <c r="L14"/>
  <c r="I14"/>
  <c r="O13"/>
  <c r="I13"/>
  <c r="O12"/>
  <c r="I12"/>
  <c r="O11"/>
  <c r="I11"/>
  <c r="O10"/>
  <c r="I10"/>
  <c r="A2"/>
  <c r="A67" i="143"/>
  <c r="N66"/>
  <c r="M66"/>
  <c r="K66"/>
  <c r="J66"/>
  <c r="O65"/>
  <c r="L65"/>
  <c r="I65"/>
  <c r="O64"/>
  <c r="L64"/>
  <c r="I64"/>
  <c r="O63"/>
  <c r="L63"/>
  <c r="I63"/>
  <c r="O62"/>
  <c r="L62"/>
  <c r="I62"/>
  <c r="O61"/>
  <c r="L61"/>
  <c r="I61"/>
  <c r="O60"/>
  <c r="L60"/>
  <c r="I60"/>
  <c r="O59"/>
  <c r="L59"/>
  <c r="I59"/>
  <c r="O58"/>
  <c r="L58"/>
  <c r="I58"/>
  <c r="O57"/>
  <c r="L57"/>
  <c r="I57"/>
  <c r="O56"/>
  <c r="L56"/>
  <c r="I56"/>
  <c r="O55"/>
  <c r="L55"/>
  <c r="I55"/>
  <c r="O54"/>
  <c r="L54"/>
  <c r="I54"/>
  <c r="O53"/>
  <c r="L53"/>
  <c r="I53"/>
  <c r="O52"/>
  <c r="L52"/>
  <c r="I52"/>
  <c r="O51"/>
  <c r="L51"/>
  <c r="I51"/>
  <c r="O50"/>
  <c r="L50"/>
  <c r="I50"/>
  <c r="O49"/>
  <c r="L49"/>
  <c r="I49"/>
  <c r="O48"/>
  <c r="L48"/>
  <c r="I48"/>
  <c r="O47"/>
  <c r="L47"/>
  <c r="I47"/>
  <c r="O46"/>
  <c r="L46"/>
  <c r="I46"/>
  <c r="O45"/>
  <c r="L45"/>
  <c r="I45"/>
  <c r="O44"/>
  <c r="L44"/>
  <c r="I44"/>
  <c r="O43"/>
  <c r="L43"/>
  <c r="I43"/>
  <c r="O42"/>
  <c r="L42"/>
  <c r="I42"/>
  <c r="O41"/>
  <c r="L41"/>
  <c r="I41"/>
  <c r="O40"/>
  <c r="L40"/>
  <c r="I40"/>
  <c r="O39"/>
  <c r="L39"/>
  <c r="I39"/>
  <c r="O38"/>
  <c r="L38"/>
  <c r="I38"/>
  <c r="O37"/>
  <c r="L37"/>
  <c r="I37"/>
  <c r="O36"/>
  <c r="L36"/>
  <c r="I36"/>
  <c r="O35"/>
  <c r="L35"/>
  <c r="I35"/>
  <c r="O34"/>
  <c r="L34"/>
  <c r="I34"/>
  <c r="O33"/>
  <c r="L33"/>
  <c r="I33"/>
  <c r="O32"/>
  <c r="L32"/>
  <c r="I32"/>
  <c r="O31"/>
  <c r="L31"/>
  <c r="I31"/>
  <c r="O30"/>
  <c r="L30"/>
  <c r="I30"/>
  <c r="O29"/>
  <c r="L29"/>
  <c r="I29"/>
  <c r="O28"/>
  <c r="L28"/>
  <c r="I28"/>
  <c r="O27"/>
  <c r="L27"/>
  <c r="I27"/>
  <c r="O26"/>
  <c r="L26"/>
  <c r="I26"/>
  <c r="O25"/>
  <c r="L25"/>
  <c r="I25"/>
  <c r="O24"/>
  <c r="L24"/>
  <c r="I24"/>
  <c r="O23"/>
  <c r="L23"/>
  <c r="I23"/>
  <c r="O22"/>
  <c r="L22"/>
  <c r="I22"/>
  <c r="O21"/>
  <c r="L21"/>
  <c r="I21"/>
  <c r="O20"/>
  <c r="L20"/>
  <c r="I20"/>
  <c r="O19"/>
  <c r="L19"/>
  <c r="I19"/>
  <c r="O18"/>
  <c r="L18"/>
  <c r="I18"/>
  <c r="O17"/>
  <c r="L17"/>
  <c r="I17"/>
  <c r="O16"/>
  <c r="L16"/>
  <c r="I16"/>
  <c r="O15"/>
  <c r="L15"/>
  <c r="I15"/>
  <c r="O14"/>
  <c r="L14"/>
  <c r="I14"/>
  <c r="O13"/>
  <c r="L13"/>
  <c r="I13"/>
  <c r="O12"/>
  <c r="L12"/>
  <c r="I12"/>
  <c r="O11"/>
  <c r="L11"/>
  <c r="I11"/>
  <c r="O10"/>
  <c r="L10"/>
  <c r="I10"/>
  <c r="A2"/>
  <c r="E23" i="104"/>
  <c r="D23"/>
  <c r="C23"/>
  <c r="B23"/>
  <c r="G22"/>
  <c r="F22" s="1"/>
  <c r="G21"/>
  <c r="F21" s="1"/>
  <c r="G20"/>
  <c r="F20" s="1"/>
  <c r="E18"/>
  <c r="D18"/>
  <c r="C18"/>
  <c r="B18"/>
  <c r="G17"/>
  <c r="F17" s="1"/>
  <c r="F16"/>
  <c r="G15"/>
  <c r="E13"/>
  <c r="D13"/>
  <c r="C13"/>
  <c r="B13"/>
  <c r="G12"/>
  <c r="F12" s="1"/>
  <c r="G10"/>
  <c r="C24" i="103"/>
  <c r="G20"/>
  <c r="B20"/>
  <c r="C19"/>
  <c r="C25" s="1"/>
  <c r="G15"/>
  <c r="B15"/>
  <c r="C14"/>
  <c r="G13"/>
  <c r="B14"/>
  <c r="AC102" i="134"/>
  <c r="AD102"/>
  <c r="AE102"/>
  <c r="AF102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G10"/>
  <c r="AH10"/>
  <c r="AG12"/>
  <c r="AH12"/>
  <c r="AC18"/>
  <c r="AD18"/>
  <c r="AD19" s="1"/>
  <c r="AE18"/>
  <c r="AF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66"/>
  <c r="AD66"/>
  <c r="AE66"/>
  <c r="AF66"/>
  <c r="AC71"/>
  <c r="AD71"/>
  <c r="AE71"/>
  <c r="AF71"/>
  <c r="AC75"/>
  <c r="AD75"/>
  <c r="AE75"/>
  <c r="AF75"/>
  <c r="I10" i="14"/>
  <c r="H71" i="79"/>
  <c r="G71"/>
  <c r="E71"/>
  <c r="D71"/>
  <c r="I70"/>
  <c r="F70"/>
  <c r="I69"/>
  <c r="F69"/>
  <c r="I68"/>
  <c r="F68"/>
  <c r="H67"/>
  <c r="G67"/>
  <c r="E67"/>
  <c r="D67"/>
  <c r="I66"/>
  <c r="F66"/>
  <c r="I65"/>
  <c r="F65"/>
  <c r="I64"/>
  <c r="F64"/>
  <c r="I63"/>
  <c r="F63"/>
  <c r="I62"/>
  <c r="F62"/>
  <c r="I61"/>
  <c r="F61"/>
  <c r="I60"/>
  <c r="F60"/>
  <c r="I59"/>
  <c r="F59"/>
  <c r="I58"/>
  <c r="F58"/>
  <c r="I57"/>
  <c r="F57"/>
  <c r="I56"/>
  <c r="F56"/>
  <c r="I55"/>
  <c r="F55"/>
  <c r="I54"/>
  <c r="F54"/>
  <c r="I53"/>
  <c r="F53"/>
  <c r="I52"/>
  <c r="F52"/>
  <c r="I51"/>
  <c r="F51"/>
  <c r="I50"/>
  <c r="F50"/>
  <c r="I49"/>
  <c r="F49"/>
  <c r="I48"/>
  <c r="F48"/>
  <c r="I47"/>
  <c r="F47"/>
  <c r="I46"/>
  <c r="F46"/>
  <c r="I45"/>
  <c r="F45"/>
  <c r="I44"/>
  <c r="F44"/>
  <c r="H43"/>
  <c r="G43"/>
  <c r="D43"/>
  <c r="I42"/>
  <c r="F42"/>
  <c r="I41"/>
  <c r="F41"/>
  <c r="I40"/>
  <c r="F40"/>
  <c r="I39"/>
  <c r="F39"/>
  <c r="I38"/>
  <c r="F38"/>
  <c r="I37"/>
  <c r="F37"/>
  <c r="I36"/>
  <c r="F36"/>
  <c r="I35"/>
  <c r="F35"/>
  <c r="I34"/>
  <c r="F34"/>
  <c r="I33"/>
  <c r="F33"/>
  <c r="I32"/>
  <c r="F32"/>
  <c r="I31"/>
  <c r="F31"/>
  <c r="I30"/>
  <c r="F30"/>
  <c r="I29"/>
  <c r="I28"/>
  <c r="F28"/>
  <c r="I27"/>
  <c r="F27"/>
  <c r="I26"/>
  <c r="F26"/>
  <c r="I25"/>
  <c r="F25"/>
  <c r="I24"/>
  <c r="F24"/>
  <c r="I23"/>
  <c r="F23"/>
  <c r="I22"/>
  <c r="F22"/>
  <c r="I21"/>
  <c r="F21"/>
  <c r="I20"/>
  <c r="F20"/>
  <c r="I19"/>
  <c r="F19"/>
  <c r="I18"/>
  <c r="F18"/>
  <c r="H17"/>
  <c r="G17"/>
  <c r="E17"/>
  <c r="D17"/>
  <c r="D72" s="1"/>
  <c r="I16"/>
  <c r="F16"/>
  <c r="I15"/>
  <c r="F15"/>
  <c r="I14"/>
  <c r="F14"/>
  <c r="I13"/>
  <c r="F13"/>
  <c r="I12"/>
  <c r="F12"/>
  <c r="I11"/>
  <c r="F11"/>
  <c r="F17" s="1"/>
  <c r="D66" i="153" l="1"/>
  <c r="F66"/>
  <c r="E66"/>
  <c r="J65"/>
  <c r="G66"/>
  <c r="Q42"/>
  <c r="S39"/>
  <c r="K13" i="104"/>
  <c r="L65" i="144"/>
  <c r="D20" i="148"/>
  <c r="D66" i="147"/>
  <c r="F71" i="79"/>
  <c r="H72"/>
  <c r="I67"/>
  <c r="D67" i="145"/>
  <c r="E67"/>
  <c r="AG71" i="134"/>
  <c r="AG66"/>
  <c r="AE19"/>
  <c r="AH75"/>
  <c r="AH18"/>
  <c r="AH19" s="1"/>
  <c r="AH71"/>
  <c r="AH102"/>
  <c r="AG75"/>
  <c r="AG18"/>
  <c r="AG102"/>
  <c r="AC19"/>
  <c r="B19" i="103"/>
  <c r="B25" s="1"/>
  <c r="J8" i="153"/>
  <c r="E20" i="148"/>
  <c r="E24" i="104"/>
  <c r="O66" i="143"/>
  <c r="G13" i="104"/>
  <c r="G18"/>
  <c r="D24"/>
  <c r="L66" i="143"/>
  <c r="O65" i="144"/>
  <c r="G72" i="79"/>
  <c r="F67"/>
  <c r="AF19" i="134"/>
  <c r="I17" i="79"/>
  <c r="I43"/>
  <c r="I71"/>
  <c r="F13" i="104"/>
  <c r="F15"/>
  <c r="F18" s="1"/>
  <c r="C24"/>
  <c r="F23"/>
  <c r="G23"/>
  <c r="AH66" i="134"/>
  <c r="C66" i="153" l="1"/>
  <c r="H66"/>
  <c r="AG19" i="134"/>
  <c r="G24" i="104"/>
  <c r="F24"/>
  <c r="I72" i="79"/>
  <c r="H23" i="103"/>
  <c r="H21"/>
  <c r="G21" s="1"/>
  <c r="H20"/>
  <c r="H17"/>
  <c r="H15"/>
  <c r="G14"/>
  <c r="G17" l="1"/>
  <c r="I17"/>
  <c r="I13"/>
  <c r="H14"/>
  <c r="I23"/>
  <c r="G23"/>
  <c r="H18"/>
  <c r="H22"/>
  <c r="H24" s="1"/>
  <c r="H16"/>
  <c r="I11"/>
  <c r="I21"/>
  <c r="I14" l="1"/>
  <c r="M13"/>
  <c r="H19"/>
  <c r="I19" s="1"/>
  <c r="I22"/>
  <c r="G22"/>
  <c r="G24" s="1"/>
  <c r="I18"/>
  <c r="G18"/>
  <c r="I16"/>
  <c r="G16"/>
  <c r="H25" l="1"/>
  <c r="I25" s="1"/>
  <c r="G19"/>
  <c r="G25" s="1"/>
  <c r="I24"/>
  <c r="C34" i="36" l="1"/>
  <c r="F34" s="1"/>
  <c r="F16"/>
  <c r="C13" i="123" l="1"/>
  <c r="C61" i="122"/>
  <c r="F17" i="36"/>
  <c r="E62" i="122" l="1"/>
  <c r="F61"/>
  <c r="B63" i="117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Z63"/>
  <c r="AA63"/>
  <c r="AB63"/>
  <c r="AA38" i="113"/>
  <c r="AA30"/>
  <c r="AA46"/>
  <c r="AA47"/>
  <c r="AA48"/>
  <c r="AA49"/>
  <c r="AA50"/>
  <c r="AA51"/>
  <c r="AA52"/>
  <c r="AA53"/>
  <c r="AA54"/>
  <c r="AA35"/>
  <c r="I51" i="84"/>
  <c r="B31"/>
  <c r="AA55" i="113" l="1"/>
  <c r="E26" i="101" l="1"/>
  <c r="D26"/>
  <c r="C26"/>
  <c r="F25"/>
  <c r="F24"/>
  <c r="F22"/>
  <c r="F21"/>
  <c r="A14"/>
  <c r="D12"/>
  <c r="C12"/>
  <c r="E11"/>
  <c r="A32" i="14"/>
  <c r="H31"/>
  <c r="G31"/>
  <c r="F31"/>
  <c r="D31"/>
  <c r="C31"/>
  <c r="A2"/>
  <c r="A22" i="34"/>
  <c r="I19"/>
  <c r="H19"/>
  <c r="G19"/>
  <c r="F19"/>
  <c r="E19"/>
  <c r="D19"/>
  <c r="C19"/>
  <c r="B19"/>
  <c r="J18"/>
  <c r="J16"/>
  <c r="J15"/>
  <c r="I14"/>
  <c r="H14"/>
  <c r="G14"/>
  <c r="F14"/>
  <c r="F20" s="1"/>
  <c r="E14"/>
  <c r="E20" s="1"/>
  <c r="D14"/>
  <c r="C14"/>
  <c r="B14"/>
  <c r="B20" s="1"/>
  <c r="J12"/>
  <c r="J11"/>
  <c r="A2"/>
  <c r="I54" i="86"/>
  <c r="B30"/>
  <c r="I54" i="87"/>
  <c r="A68" i="130"/>
  <c r="K50"/>
  <c r="D67"/>
  <c r="C67"/>
  <c r="G65"/>
  <c r="G64"/>
  <c r="G63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8"/>
  <c r="G27"/>
  <c r="G26"/>
  <c r="G25"/>
  <c r="G24"/>
  <c r="G23"/>
  <c r="G22"/>
  <c r="G21"/>
  <c r="G20"/>
  <c r="G19"/>
  <c r="G18"/>
  <c r="G17"/>
  <c r="G16"/>
  <c r="G15"/>
  <c r="G13"/>
  <c r="A2"/>
  <c r="A60" i="129"/>
  <c r="A59"/>
  <c r="H58"/>
  <c r="G58"/>
  <c r="L62"/>
  <c r="D58"/>
  <c r="C58"/>
  <c r="J56"/>
  <c r="J55"/>
  <c r="J54"/>
  <c r="J53"/>
  <c r="J52"/>
  <c r="J51"/>
  <c r="J50"/>
  <c r="J49"/>
  <c r="J48"/>
  <c r="J47"/>
  <c r="J46"/>
  <c r="J41"/>
  <c r="J37"/>
  <c r="J36"/>
  <c r="J35"/>
  <c r="J34"/>
  <c r="J33"/>
  <c r="J32"/>
  <c r="J31"/>
  <c r="J30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I9"/>
  <c r="J9" s="1"/>
  <c r="A2"/>
  <c r="C74" i="79"/>
  <c r="A2"/>
  <c r="A69" i="128"/>
  <c r="D67"/>
  <c r="C67"/>
  <c r="E65"/>
  <c r="E64"/>
  <c r="E63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8"/>
  <c r="E26"/>
  <c r="E25"/>
  <c r="E24"/>
  <c r="E23"/>
  <c r="E22"/>
  <c r="E21"/>
  <c r="E20"/>
  <c r="E19"/>
  <c r="E18"/>
  <c r="E17"/>
  <c r="E16"/>
  <c r="E15"/>
  <c r="E14"/>
  <c r="E13"/>
  <c r="E9"/>
  <c r="A2"/>
  <c r="C20" i="34" l="1"/>
  <c r="H20"/>
  <c r="E12" i="101"/>
  <c r="F26"/>
  <c r="I31" i="14"/>
  <c r="E67" i="128"/>
  <c r="D20" i="34"/>
  <c r="I20"/>
  <c r="J19"/>
  <c r="G20"/>
  <c r="J14"/>
  <c r="J17" i="52"/>
  <c r="I17"/>
  <c r="H17"/>
  <c r="G17"/>
  <c r="F17"/>
  <c r="E17"/>
  <c r="D17"/>
  <c r="C17"/>
  <c r="A2"/>
  <c r="A84" i="117"/>
  <c r="AC83"/>
  <c r="C32" i="14" l="1"/>
  <c r="E32"/>
  <c r="H32"/>
  <c r="G32"/>
  <c r="D32"/>
  <c r="F32"/>
  <c r="J20" i="34"/>
  <c r="F21" s="1"/>
  <c r="AB81" i="117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AC79"/>
  <c r="AC78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AC74"/>
  <c r="AC73"/>
  <c r="AC72"/>
  <c r="AC71"/>
  <c r="AC70"/>
  <c r="AC69"/>
  <c r="AC68"/>
  <c r="AC67"/>
  <c r="AC66"/>
  <c r="AC65"/>
  <c r="AC64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B82" l="1"/>
  <c r="AB82"/>
  <c r="G82"/>
  <c r="S82"/>
  <c r="F82"/>
  <c r="R82"/>
  <c r="E82"/>
  <c r="D82" s="1"/>
  <c r="Q82"/>
  <c r="AC81"/>
  <c r="D21" i="34"/>
  <c r="G21"/>
  <c r="E21"/>
  <c r="C21"/>
  <c r="I21"/>
  <c r="H21" s="1"/>
  <c r="B21"/>
  <c r="AA82" i="117"/>
  <c r="AC75"/>
  <c r="H82"/>
  <c r="P82"/>
  <c r="AC63"/>
  <c r="C82"/>
  <c r="K82"/>
  <c r="J82" s="1"/>
  <c r="I82" s="1"/>
  <c r="O82"/>
  <c r="N82" s="1"/>
  <c r="M82" s="1"/>
  <c r="L82" s="1"/>
  <c r="V82"/>
  <c r="U82" s="1"/>
  <c r="T82" s="1"/>
  <c r="Z82"/>
  <c r="Y82" s="1"/>
  <c r="X82" s="1"/>
  <c r="W82" s="1"/>
  <c r="AC9"/>
  <c r="AC36" s="1"/>
  <c r="A2"/>
  <c r="A14" i="123"/>
  <c r="E13"/>
  <c r="E14" s="1"/>
  <c r="D13"/>
  <c r="F12"/>
  <c r="F11"/>
  <c r="F10"/>
  <c r="A2"/>
  <c r="D34" i="36"/>
  <c r="F15"/>
  <c r="F14"/>
  <c r="F13"/>
  <c r="F12"/>
  <c r="F11"/>
  <c r="F10"/>
  <c r="A62" i="122"/>
  <c r="D61"/>
  <c r="D62" s="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8"/>
  <c r="F27"/>
  <c r="F26"/>
  <c r="F25"/>
  <c r="F24"/>
  <c r="F23"/>
  <c r="F22"/>
  <c r="F21"/>
  <c r="F20"/>
  <c r="F19"/>
  <c r="F18"/>
  <c r="F17"/>
  <c r="F16"/>
  <c r="F15"/>
  <c r="A2"/>
  <c r="I52" i="88"/>
  <c r="A26"/>
  <c r="A68" i="121"/>
  <c r="G67"/>
  <c r="D67"/>
  <c r="C67"/>
  <c r="H65"/>
  <c r="E65"/>
  <c r="H64"/>
  <c r="E64"/>
  <c r="H63"/>
  <c r="E63"/>
  <c r="E61"/>
  <c r="H60"/>
  <c r="E60"/>
  <c r="E58"/>
  <c r="H57"/>
  <c r="E57"/>
  <c r="H56"/>
  <c r="E56"/>
  <c r="H55"/>
  <c r="E55"/>
  <c r="H54"/>
  <c r="E54"/>
  <c r="H53"/>
  <c r="E53"/>
  <c r="H52"/>
  <c r="E52"/>
  <c r="H51"/>
  <c r="E51"/>
  <c r="H50"/>
  <c r="E50"/>
  <c r="H49"/>
  <c r="E49"/>
  <c r="H48"/>
  <c r="E48"/>
  <c r="H47"/>
  <c r="E47"/>
  <c r="H46"/>
  <c r="E46"/>
  <c r="H45"/>
  <c r="E45"/>
  <c r="H44"/>
  <c r="E44"/>
  <c r="H43"/>
  <c r="E43"/>
  <c r="H42"/>
  <c r="E42"/>
  <c r="H41"/>
  <c r="E41"/>
  <c r="H40"/>
  <c r="E40"/>
  <c r="H39"/>
  <c r="E39"/>
  <c r="H38"/>
  <c r="E38"/>
  <c r="H37"/>
  <c r="E37"/>
  <c r="H36"/>
  <c r="E36"/>
  <c r="H35"/>
  <c r="E35"/>
  <c r="H34"/>
  <c r="E34"/>
  <c r="H33"/>
  <c r="E33"/>
  <c r="H32"/>
  <c r="E32"/>
  <c r="H31"/>
  <c r="E31"/>
  <c r="H30"/>
  <c r="E30"/>
  <c r="H28"/>
  <c r="E28"/>
  <c r="H27"/>
  <c r="H26"/>
  <c r="E26"/>
  <c r="H25"/>
  <c r="E25"/>
  <c r="H24"/>
  <c r="E24"/>
  <c r="H23"/>
  <c r="E23"/>
  <c r="H22"/>
  <c r="E22"/>
  <c r="E21"/>
  <c r="H20"/>
  <c r="E20"/>
  <c r="H19"/>
  <c r="E19"/>
  <c r="H18"/>
  <c r="E18"/>
  <c r="H17"/>
  <c r="E17"/>
  <c r="H16"/>
  <c r="E16"/>
  <c r="H15"/>
  <c r="E15"/>
  <c r="H14"/>
  <c r="E14"/>
  <c r="H13"/>
  <c r="E13"/>
  <c r="E12"/>
  <c r="E11"/>
  <c r="E10"/>
  <c r="E9"/>
  <c r="A2"/>
  <c r="A69" i="120"/>
  <c r="I68"/>
  <c r="H68"/>
  <c r="G68"/>
  <c r="D68"/>
  <c r="C68"/>
  <c r="J66"/>
  <c r="F66"/>
  <c r="J65"/>
  <c r="F65"/>
  <c r="J64"/>
  <c r="F64"/>
  <c r="F62"/>
  <c r="J61"/>
  <c r="F61"/>
  <c r="F59"/>
  <c r="J58"/>
  <c r="F58"/>
  <c r="J57"/>
  <c r="F57"/>
  <c r="J56"/>
  <c r="F56"/>
  <c r="J55"/>
  <c r="F55"/>
  <c r="J54"/>
  <c r="F54"/>
  <c r="J53"/>
  <c r="F53"/>
  <c r="J52"/>
  <c r="F52"/>
  <c r="J51"/>
  <c r="F51"/>
  <c r="J50"/>
  <c r="F50"/>
  <c r="J49"/>
  <c r="F49"/>
  <c r="J48"/>
  <c r="F48"/>
  <c r="J47"/>
  <c r="F47"/>
  <c r="J46"/>
  <c r="F46"/>
  <c r="J45"/>
  <c r="F45"/>
  <c r="J44"/>
  <c r="F44"/>
  <c r="J43"/>
  <c r="F43"/>
  <c r="J42"/>
  <c r="F42"/>
  <c r="J41"/>
  <c r="F41"/>
  <c r="J40"/>
  <c r="F40"/>
  <c r="J39"/>
  <c r="F39"/>
  <c r="J38"/>
  <c r="F38"/>
  <c r="J37"/>
  <c r="F37"/>
  <c r="J36"/>
  <c r="F36"/>
  <c r="J35"/>
  <c r="F35"/>
  <c r="J34"/>
  <c r="F34"/>
  <c r="J33"/>
  <c r="F33"/>
  <c r="J32"/>
  <c r="F32"/>
  <c r="J31"/>
  <c r="F31"/>
  <c r="J30"/>
  <c r="F30"/>
  <c r="J29"/>
  <c r="J28"/>
  <c r="F28"/>
  <c r="J27"/>
  <c r="F27"/>
  <c r="J26"/>
  <c r="F26"/>
  <c r="J25"/>
  <c r="F25"/>
  <c r="J24"/>
  <c r="F24"/>
  <c r="J23"/>
  <c r="F23"/>
  <c r="F22"/>
  <c r="J21"/>
  <c r="F21"/>
  <c r="J20"/>
  <c r="F20"/>
  <c r="J19"/>
  <c r="F19"/>
  <c r="J18"/>
  <c r="F18"/>
  <c r="J17"/>
  <c r="F17"/>
  <c r="J16"/>
  <c r="F16"/>
  <c r="J15"/>
  <c r="F15"/>
  <c r="J14"/>
  <c r="F14"/>
  <c r="F13"/>
  <c r="F12"/>
  <c r="F11"/>
  <c r="F10"/>
  <c r="A2"/>
  <c r="A70" i="119"/>
  <c r="J69"/>
  <c r="D69"/>
  <c r="C69"/>
  <c r="J67"/>
  <c r="F67"/>
  <c r="J66"/>
  <c r="F66"/>
  <c r="J65"/>
  <c r="F65"/>
  <c r="F63"/>
  <c r="J62"/>
  <c r="F62"/>
  <c r="F61"/>
  <c r="F60"/>
  <c r="J59"/>
  <c r="F59"/>
  <c r="J58"/>
  <c r="F58"/>
  <c r="J57"/>
  <c r="F57"/>
  <c r="J56"/>
  <c r="F56"/>
  <c r="J55"/>
  <c r="F55"/>
  <c r="J54"/>
  <c r="F54"/>
  <c r="J53"/>
  <c r="F53"/>
  <c r="J52"/>
  <c r="F52"/>
  <c r="J51"/>
  <c r="F51"/>
  <c r="J50"/>
  <c r="F50"/>
  <c r="J49"/>
  <c r="F49"/>
  <c r="J48"/>
  <c r="F48"/>
  <c r="J47"/>
  <c r="F47"/>
  <c r="J46"/>
  <c r="F46"/>
  <c r="J45"/>
  <c r="F45"/>
  <c r="J44"/>
  <c r="F44"/>
  <c r="J43"/>
  <c r="F43"/>
  <c r="J42"/>
  <c r="F42"/>
  <c r="J41"/>
  <c r="F41"/>
  <c r="J40"/>
  <c r="F40"/>
  <c r="J39"/>
  <c r="F39"/>
  <c r="J38"/>
  <c r="F38"/>
  <c r="J37"/>
  <c r="F37"/>
  <c r="J36"/>
  <c r="F36"/>
  <c r="J35"/>
  <c r="F35"/>
  <c r="J34"/>
  <c r="F34"/>
  <c r="J33"/>
  <c r="F33"/>
  <c r="J32"/>
  <c r="F32"/>
  <c r="J31"/>
  <c r="F31"/>
  <c r="J30"/>
  <c r="F30"/>
  <c r="J29"/>
  <c r="J28"/>
  <c r="F28"/>
  <c r="J27"/>
  <c r="F27"/>
  <c r="J26"/>
  <c r="F26"/>
  <c r="J25"/>
  <c r="F25"/>
  <c r="J24"/>
  <c r="F24"/>
  <c r="F23"/>
  <c r="J22"/>
  <c r="F22"/>
  <c r="J21"/>
  <c r="F21"/>
  <c r="J20"/>
  <c r="F20"/>
  <c r="J19"/>
  <c r="F19"/>
  <c r="J18"/>
  <c r="F18"/>
  <c r="J17"/>
  <c r="F17"/>
  <c r="J16"/>
  <c r="F16"/>
  <c r="J15"/>
  <c r="F15"/>
  <c r="F14"/>
  <c r="F13"/>
  <c r="F12"/>
  <c r="F11"/>
  <c r="A3"/>
  <c r="A2"/>
  <c r="A25" i="118"/>
  <c r="E21"/>
  <c r="E20"/>
  <c r="B23"/>
  <c r="E17"/>
  <c r="E16"/>
  <c r="E15"/>
  <c r="E11"/>
  <c r="D10"/>
  <c r="E10" s="1"/>
  <c r="A3"/>
  <c r="A2"/>
  <c r="I55" i="91"/>
  <c r="A38" i="116"/>
  <c r="AF37"/>
  <c r="AE37"/>
  <c r="AD37"/>
  <c r="AC37"/>
  <c r="AB37"/>
  <c r="AA37"/>
  <c r="Z37"/>
  <c r="Y37"/>
  <c r="X37"/>
  <c r="AF36"/>
  <c r="AE36"/>
  <c r="AD36"/>
  <c r="AC36"/>
  <c r="AB36"/>
  <c r="AA36"/>
  <c r="Z36"/>
  <c r="Y36"/>
  <c r="X36"/>
  <c r="AF35"/>
  <c r="AE35"/>
  <c r="AD35"/>
  <c r="AC35"/>
  <c r="AB35"/>
  <c r="AA35"/>
  <c r="Z35"/>
  <c r="Y35"/>
  <c r="X35"/>
  <c r="AF34"/>
  <c r="AE34"/>
  <c r="AD34"/>
  <c r="AC34"/>
  <c r="AB34"/>
  <c r="AA34"/>
  <c r="Z34"/>
  <c r="Y34"/>
  <c r="X34"/>
  <c r="AF33"/>
  <c r="AE33"/>
  <c r="AD33"/>
  <c r="AC33"/>
  <c r="AB33"/>
  <c r="AA33"/>
  <c r="Z33"/>
  <c r="Y33"/>
  <c r="X33"/>
  <c r="AF32"/>
  <c r="AE32"/>
  <c r="AD32"/>
  <c r="AC32"/>
  <c r="AB32"/>
  <c r="AA32"/>
  <c r="Z32"/>
  <c r="Y32"/>
  <c r="X32"/>
  <c r="AF31"/>
  <c r="AE31"/>
  <c r="AD31"/>
  <c r="AC31"/>
  <c r="AB31"/>
  <c r="AA31"/>
  <c r="Z31"/>
  <c r="Y31"/>
  <c r="X31"/>
  <c r="AF30"/>
  <c r="AE30"/>
  <c r="AD30"/>
  <c r="AC30"/>
  <c r="AB30"/>
  <c r="AA30"/>
  <c r="Z30"/>
  <c r="Y30"/>
  <c r="X30"/>
  <c r="AF29"/>
  <c r="AE29"/>
  <c r="AD29"/>
  <c r="AC29"/>
  <c r="AB29"/>
  <c r="AA29"/>
  <c r="Z29"/>
  <c r="Y29"/>
  <c r="X29"/>
  <c r="AF28"/>
  <c r="AE28"/>
  <c r="AD28"/>
  <c r="AC28"/>
  <c r="AB28"/>
  <c r="AA28"/>
  <c r="Z28"/>
  <c r="Y28"/>
  <c r="X28"/>
  <c r="AF27"/>
  <c r="AE27"/>
  <c r="AD27"/>
  <c r="AC27"/>
  <c r="AB27"/>
  <c r="AA27"/>
  <c r="Z27"/>
  <c r="Y27"/>
  <c r="X27"/>
  <c r="AF26"/>
  <c r="AE26"/>
  <c r="AD26"/>
  <c r="AC26"/>
  <c r="AB26"/>
  <c r="AA26"/>
  <c r="Z26"/>
  <c r="Y26"/>
  <c r="X26"/>
  <c r="AF25"/>
  <c r="AE25"/>
  <c r="AD25"/>
  <c r="AC25"/>
  <c r="AB25"/>
  <c r="AA25"/>
  <c r="Z25"/>
  <c r="Y25"/>
  <c r="X25"/>
  <c r="AF24"/>
  <c r="AE24"/>
  <c r="AD24"/>
  <c r="AC24"/>
  <c r="AB24"/>
  <c r="AA24"/>
  <c r="Z24"/>
  <c r="Y24"/>
  <c r="X24"/>
  <c r="AF23"/>
  <c r="AE23"/>
  <c r="AD23"/>
  <c r="AC23"/>
  <c r="AB23"/>
  <c r="AA23"/>
  <c r="Z23"/>
  <c r="Y23"/>
  <c r="X23"/>
  <c r="AF22"/>
  <c r="AE22"/>
  <c r="AD22"/>
  <c r="AC22"/>
  <c r="AB22"/>
  <c r="AA22"/>
  <c r="Z22"/>
  <c r="Y22"/>
  <c r="X22"/>
  <c r="AF21"/>
  <c r="AE21"/>
  <c r="AD21"/>
  <c r="AC21"/>
  <c r="AB21"/>
  <c r="AA21"/>
  <c r="Z21"/>
  <c r="Y21"/>
  <c r="X21"/>
  <c r="AF20"/>
  <c r="AE20"/>
  <c r="AD20"/>
  <c r="AC20"/>
  <c r="AB20"/>
  <c r="AA20"/>
  <c r="Z20"/>
  <c r="Y20"/>
  <c r="X20"/>
  <c r="AF19"/>
  <c r="AE19"/>
  <c r="AD19"/>
  <c r="AC19"/>
  <c r="AB19"/>
  <c r="AA19"/>
  <c r="Z19"/>
  <c r="Y19"/>
  <c r="X19"/>
  <c r="AF18"/>
  <c r="AE18"/>
  <c r="AD18"/>
  <c r="AC18"/>
  <c r="AB18"/>
  <c r="AA18"/>
  <c r="Z18"/>
  <c r="Y18"/>
  <c r="X18"/>
  <c r="AF17"/>
  <c r="AE17"/>
  <c r="AD17"/>
  <c r="AC17"/>
  <c r="AB17"/>
  <c r="AA17"/>
  <c r="Z17"/>
  <c r="Y17"/>
  <c r="X17"/>
  <c r="AF16"/>
  <c r="AE16"/>
  <c r="AD16"/>
  <c r="AC16"/>
  <c r="AB16"/>
  <c r="AA16"/>
  <c r="Z16"/>
  <c r="Y16"/>
  <c r="X16"/>
  <c r="AF15"/>
  <c r="AE15"/>
  <c r="AD15"/>
  <c r="AC15"/>
  <c r="AB15"/>
  <c r="AA15"/>
  <c r="Z15"/>
  <c r="Y15"/>
  <c r="X15"/>
  <c r="AF14"/>
  <c r="AE14"/>
  <c r="AD14"/>
  <c r="AC14"/>
  <c r="AB14"/>
  <c r="AA14"/>
  <c r="Z14"/>
  <c r="Y14"/>
  <c r="X14"/>
  <c r="AF13"/>
  <c r="AE13"/>
  <c r="AD13"/>
  <c r="AC13"/>
  <c r="AB13"/>
  <c r="AA13"/>
  <c r="Z13"/>
  <c r="Y13"/>
  <c r="X13"/>
  <c r="AF12"/>
  <c r="AE12"/>
  <c r="AD12"/>
  <c r="AC12"/>
  <c r="AB12"/>
  <c r="AA12"/>
  <c r="Z12"/>
  <c r="Y12"/>
  <c r="X12"/>
  <c r="AF11"/>
  <c r="AE11"/>
  <c r="AD11"/>
  <c r="AC11"/>
  <c r="AB11"/>
  <c r="AA11"/>
  <c r="Z11"/>
  <c r="Y11"/>
  <c r="X11"/>
  <c r="AF10"/>
  <c r="AE10"/>
  <c r="AD10"/>
  <c r="AC10"/>
  <c r="AB10"/>
  <c r="AA10"/>
  <c r="Z10"/>
  <c r="Y10"/>
  <c r="X10"/>
  <c r="Z39"/>
  <c r="A2"/>
  <c r="A1"/>
  <c r="A38" i="115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D35"/>
  <c r="AC35"/>
  <c r="AB35"/>
  <c r="AA35"/>
  <c r="Z35"/>
  <c r="Y35"/>
  <c r="X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26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A14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2"/>
  <c r="A56" i="113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D55"/>
  <c r="C55"/>
  <c r="AA44"/>
  <c r="AA43"/>
  <c r="AA42"/>
  <c r="AA41"/>
  <c r="AA40"/>
  <c r="AA39"/>
  <c r="AA37"/>
  <c r="AA36"/>
  <c r="AA34"/>
  <c r="AA33"/>
  <c r="AA32"/>
  <c r="AA29"/>
  <c r="Z28"/>
  <c r="Y28"/>
  <c r="X28"/>
  <c r="W28"/>
  <c r="V28"/>
  <c r="U28"/>
  <c r="T28"/>
  <c r="S28"/>
  <c r="R28"/>
  <c r="Q28"/>
  <c r="P28"/>
  <c r="O28"/>
  <c r="N28"/>
  <c r="M28"/>
  <c r="L28"/>
  <c r="J28"/>
  <c r="I28"/>
  <c r="H28"/>
  <c r="G28"/>
  <c r="F28"/>
  <c r="D28"/>
  <c r="C28"/>
  <c r="AA27"/>
  <c r="AA16"/>
  <c r="AA15"/>
  <c r="AA14"/>
  <c r="AA13"/>
  <c r="AA12"/>
  <c r="AA11"/>
  <c r="AA10"/>
  <c r="AA9"/>
  <c r="A2"/>
  <c r="E17" i="112"/>
  <c r="D17"/>
  <c r="C17"/>
  <c r="F16"/>
  <c r="F15"/>
  <c r="F14"/>
  <c r="F13"/>
  <c r="F12"/>
  <c r="F11"/>
  <c r="A2"/>
  <c r="A66" i="111"/>
  <c r="E65"/>
  <c r="D65"/>
  <c r="C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8"/>
  <c r="F27"/>
  <c r="F26"/>
  <c r="F25"/>
  <c r="F24"/>
  <c r="F23"/>
  <c r="F22"/>
  <c r="F21"/>
  <c r="F20"/>
  <c r="F19"/>
  <c r="F18"/>
  <c r="F17"/>
  <c r="F16"/>
  <c r="F15"/>
  <c r="A2"/>
  <c r="D15" i="106"/>
  <c r="C15"/>
  <c r="B15"/>
  <c r="E14"/>
  <c r="E13"/>
  <c r="E10"/>
  <c r="F10" s="1"/>
  <c r="A2"/>
  <c r="A1"/>
  <c r="I60" i="82"/>
  <c r="A41" i="133"/>
  <c r="A21"/>
  <c r="A2"/>
  <c r="F64" i="132"/>
  <c r="E64"/>
  <c r="D64"/>
  <c r="A2"/>
  <c r="A31" i="131"/>
  <c r="D14" i="123" l="1"/>
  <c r="F11" i="106"/>
  <c r="E11"/>
  <c r="Y39" i="116"/>
  <c r="AF38"/>
  <c r="AD37" i="115"/>
  <c r="M37"/>
  <c r="AC37"/>
  <c r="P37"/>
  <c r="E37"/>
  <c r="U37"/>
  <c r="L37"/>
  <c r="S37"/>
  <c r="W37"/>
  <c r="AA37"/>
  <c r="B37"/>
  <c r="F37"/>
  <c r="Z37"/>
  <c r="J37"/>
  <c r="I37" s="1"/>
  <c r="N37"/>
  <c r="R37"/>
  <c r="Q37" s="1"/>
  <c r="V37"/>
  <c r="D37"/>
  <c r="H37"/>
  <c r="T37"/>
  <c r="X37"/>
  <c r="AB37"/>
  <c r="C37"/>
  <c r="G37"/>
  <c r="K37"/>
  <c r="O37"/>
  <c r="F14" i="106"/>
  <c r="D18" i="112"/>
  <c r="D13" i="118"/>
  <c r="E13" s="1"/>
  <c r="Y37" i="115"/>
  <c r="AA45" i="113"/>
  <c r="F13" i="106"/>
  <c r="J68" i="120"/>
  <c r="D70" i="119"/>
  <c r="E18" i="118"/>
  <c r="F13" i="123"/>
  <c r="E15" i="106"/>
  <c r="E16" s="1"/>
  <c r="D16" s="1"/>
  <c r="C16" s="1"/>
  <c r="B16"/>
  <c r="F17" i="112"/>
  <c r="F18" s="1"/>
  <c r="E18" s="1"/>
  <c r="E66" i="111"/>
  <c r="D66"/>
  <c r="AC82" i="117"/>
  <c r="AA28" i="113"/>
  <c r="H30" i="131"/>
  <c r="G30"/>
  <c r="R25"/>
  <c r="J28"/>
  <c r="R32" s="1"/>
  <c r="I28"/>
  <c r="O23" s="1"/>
  <c r="J27"/>
  <c r="L27" s="1"/>
  <c r="K27" s="1"/>
  <c r="I27"/>
  <c r="H15"/>
  <c r="G15"/>
  <c r="F15"/>
  <c r="E15"/>
  <c r="D15"/>
  <c r="C15"/>
  <c r="B15"/>
  <c r="J14"/>
  <c r="I14"/>
  <c r="J13"/>
  <c r="I13"/>
  <c r="J12"/>
  <c r="I12"/>
  <c r="A2"/>
  <c r="B181" i="134"/>
  <c r="B180"/>
  <c r="B179"/>
  <c r="B178"/>
  <c r="B177"/>
  <c r="B176"/>
  <c r="B175"/>
  <c r="B174"/>
  <c r="B173"/>
  <c r="B172"/>
  <c r="B171"/>
  <c r="B170"/>
  <c r="B169"/>
  <c r="V16" i="131" l="1"/>
  <c r="I15"/>
  <c r="L14"/>
  <c r="K14"/>
  <c r="L12"/>
  <c r="K12"/>
  <c r="L13"/>
  <c r="K13" s="1"/>
  <c r="L28"/>
  <c r="K28" s="1"/>
  <c r="C169" i="134"/>
  <c r="F15" i="106"/>
  <c r="D17"/>
  <c r="F16"/>
  <c r="C17"/>
  <c r="E17"/>
  <c r="B168" i="134"/>
  <c r="C168" s="1"/>
  <c r="AF167"/>
  <c r="AE167"/>
  <c r="AD167"/>
  <c r="AC167"/>
  <c r="AB167"/>
  <c r="AA167"/>
  <c r="V167"/>
  <c r="U167"/>
  <c r="P167"/>
  <c r="O167"/>
  <c r="J167"/>
  <c r="I167"/>
  <c r="B167"/>
  <c r="C167" s="1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B166"/>
  <c r="C166" s="1"/>
  <c r="AF165"/>
  <c r="AE165"/>
  <c r="AD165"/>
  <c r="AC165"/>
  <c r="C165"/>
  <c r="AF164"/>
  <c r="AE164"/>
  <c r="AD164"/>
  <c r="AC164"/>
  <c r="B164"/>
  <c r="C164" s="1"/>
  <c r="AF163"/>
  <c r="AE163"/>
  <c r="AD163"/>
  <c r="AC163"/>
  <c r="B163"/>
  <c r="C163" s="1"/>
  <c r="AF162"/>
  <c r="AE162"/>
  <c r="AD162"/>
  <c r="AC162"/>
  <c r="B162"/>
  <c r="C162" s="1"/>
  <c r="AF161"/>
  <c r="AE161"/>
  <c r="AD161"/>
  <c r="AC161"/>
  <c r="B161"/>
  <c r="C161" s="1"/>
  <c r="AF160"/>
  <c r="AE160"/>
  <c r="AD160"/>
  <c r="AC160"/>
  <c r="B160"/>
  <c r="AF159"/>
  <c r="AE159"/>
  <c r="AD159"/>
  <c r="AC159"/>
  <c r="B159"/>
  <c r="AF158"/>
  <c r="AE158"/>
  <c r="AD158"/>
  <c r="AC158"/>
  <c r="B158"/>
  <c r="C158" s="1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B157"/>
  <c r="AF156"/>
  <c r="AE156"/>
  <c r="AD156"/>
  <c r="AC156"/>
  <c r="B156"/>
  <c r="AF155"/>
  <c r="AE155"/>
  <c r="AD155"/>
  <c r="AC155"/>
  <c r="B155"/>
  <c r="AF154"/>
  <c r="AE154"/>
  <c r="AD154"/>
  <c r="AC154"/>
  <c r="B154"/>
  <c r="C154" s="1"/>
  <c r="AF153"/>
  <c r="AE153"/>
  <c r="AD153"/>
  <c r="AC153"/>
  <c r="B153"/>
  <c r="AF152"/>
  <c r="AE152"/>
  <c r="AD152"/>
  <c r="AC152"/>
  <c r="B152"/>
  <c r="AF151"/>
  <c r="AE151"/>
  <c r="AD151"/>
  <c r="AC151"/>
  <c r="B151"/>
  <c r="AF150"/>
  <c r="AE150"/>
  <c r="AD150"/>
  <c r="AC150"/>
  <c r="B150"/>
  <c r="C150" s="1"/>
  <c r="AF149"/>
  <c r="AE149"/>
  <c r="AD149"/>
  <c r="AC149"/>
  <c r="B149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B148"/>
  <c r="AF147"/>
  <c r="AE147"/>
  <c r="AD147"/>
  <c r="AC147"/>
  <c r="B147"/>
  <c r="AF146"/>
  <c r="AE146"/>
  <c r="AD146"/>
  <c r="AC146"/>
  <c r="B146"/>
  <c r="C146" s="1"/>
  <c r="AF145"/>
  <c r="AE145"/>
  <c r="AD145"/>
  <c r="AC145"/>
  <c r="B145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B144"/>
  <c r="AF143"/>
  <c r="AE143"/>
  <c r="AD143"/>
  <c r="AC143"/>
  <c r="B143"/>
  <c r="AF142"/>
  <c r="AE142"/>
  <c r="AD142"/>
  <c r="AC142"/>
  <c r="B142"/>
  <c r="C142" s="1"/>
  <c r="AF141"/>
  <c r="AE141"/>
  <c r="AD141"/>
  <c r="AC141"/>
  <c r="B141"/>
  <c r="AG142" l="1"/>
  <c r="AG146"/>
  <c r="AG150"/>
  <c r="AH153"/>
  <c r="AG154"/>
  <c r="AH161"/>
  <c r="AG162"/>
  <c r="AH165"/>
  <c r="AH164"/>
  <c r="AG165"/>
  <c r="AG167"/>
  <c r="AH167"/>
  <c r="AH142"/>
  <c r="AH146"/>
  <c r="AH150"/>
  <c r="AH154"/>
  <c r="AH158"/>
  <c r="AH162"/>
  <c r="AG163"/>
  <c r="AH152"/>
  <c r="AH156"/>
  <c r="AH160"/>
  <c r="AG161"/>
  <c r="AH143"/>
  <c r="AH147"/>
  <c r="AH151"/>
  <c r="AH155"/>
  <c r="AH159"/>
  <c r="AH163"/>
  <c r="AG164"/>
  <c r="C156"/>
  <c r="AF166"/>
  <c r="C159"/>
  <c r="AD144"/>
  <c r="AF144"/>
  <c r="C143"/>
  <c r="C145"/>
  <c r="AE148"/>
  <c r="AE157"/>
  <c r="AE144"/>
  <c r="AD148"/>
  <c r="AF148"/>
  <c r="C148"/>
  <c r="AD157"/>
  <c r="AF157"/>
  <c r="C151"/>
  <c r="C153"/>
  <c r="AC166"/>
  <c r="AE166"/>
  <c r="C141"/>
  <c r="AG141"/>
  <c r="C144"/>
  <c r="AC144"/>
  <c r="AH145"/>
  <c r="C147"/>
  <c r="AG147"/>
  <c r="C149"/>
  <c r="AG149"/>
  <c r="C152"/>
  <c r="AG152"/>
  <c r="C155"/>
  <c r="AG155"/>
  <c r="C157"/>
  <c r="AC157"/>
  <c r="AG158"/>
  <c r="C160"/>
  <c r="AG160"/>
  <c r="AD166"/>
  <c r="AH141"/>
  <c r="AG143"/>
  <c r="AG145"/>
  <c r="AC148"/>
  <c r="AH149"/>
  <c r="AG151"/>
  <c r="AG153"/>
  <c r="AG156"/>
  <c r="AG159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B140"/>
  <c r="AF139"/>
  <c r="AE139"/>
  <c r="AD139"/>
  <c r="AC139"/>
  <c r="B139"/>
  <c r="AF138"/>
  <c r="AE138"/>
  <c r="AD138"/>
  <c r="AC138"/>
  <c r="B138"/>
  <c r="AF137"/>
  <c r="AE137"/>
  <c r="AD137"/>
  <c r="AC137"/>
  <c r="B137"/>
  <c r="AF136"/>
  <c r="AE136"/>
  <c r="AD136"/>
  <c r="AH157" l="1"/>
  <c r="AH144"/>
  <c r="AH166"/>
  <c r="AH148"/>
  <c r="AH138"/>
  <c r="AG148"/>
  <c r="C139"/>
  <c r="AH139"/>
  <c r="C140"/>
  <c r="AH136"/>
  <c r="AH137"/>
  <c r="C137"/>
  <c r="AG137"/>
  <c r="C138"/>
  <c r="AG138"/>
  <c r="AG157"/>
  <c r="AG139"/>
  <c r="AG166"/>
  <c r="AG144"/>
  <c r="AC136"/>
  <c r="AG136" s="1"/>
  <c r="C136"/>
  <c r="AF135"/>
  <c r="AE135"/>
  <c r="AD135"/>
  <c r="AC135"/>
  <c r="B135"/>
  <c r="AF134"/>
  <c r="AE134"/>
  <c r="AD134"/>
  <c r="AC134"/>
  <c r="B134"/>
  <c r="AF133"/>
  <c r="AE133"/>
  <c r="AD133"/>
  <c r="AC133"/>
  <c r="B133"/>
  <c r="AF132"/>
  <c r="AE132"/>
  <c r="AD132"/>
  <c r="AC132"/>
  <c r="B132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B131"/>
  <c r="AF130"/>
  <c r="AE130"/>
  <c r="AD130"/>
  <c r="AC130"/>
  <c r="B130"/>
  <c r="AF129"/>
  <c r="AE129"/>
  <c r="AD129"/>
  <c r="AC129"/>
  <c r="B129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B128"/>
  <c r="AF127"/>
  <c r="AE127"/>
  <c r="AD127"/>
  <c r="AC127"/>
  <c r="B127"/>
  <c r="AF126"/>
  <c r="AE126"/>
  <c r="AD126"/>
  <c r="AC126"/>
  <c r="B126"/>
  <c r="AF125"/>
  <c r="AE125"/>
  <c r="AD125"/>
  <c r="AC125"/>
  <c r="B125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B124"/>
  <c r="AF123"/>
  <c r="AE123"/>
  <c r="AD123"/>
  <c r="AC123"/>
  <c r="B123"/>
  <c r="AF122"/>
  <c r="AE122"/>
  <c r="AD122"/>
  <c r="AC122"/>
  <c r="C122"/>
  <c r="AF121"/>
  <c r="AE121"/>
  <c r="AD121"/>
  <c r="AC121"/>
  <c r="B121"/>
  <c r="AF120"/>
  <c r="AE120"/>
  <c r="AD120"/>
  <c r="AC120"/>
  <c r="B120"/>
  <c r="AF116"/>
  <c r="AE116"/>
  <c r="AD116"/>
  <c r="AC116"/>
  <c r="B116"/>
  <c r="AF115"/>
  <c r="AE115"/>
  <c r="AD115"/>
  <c r="AC115"/>
  <c r="B115"/>
  <c r="AF114"/>
  <c r="AE114"/>
  <c r="AD114"/>
  <c r="AC114"/>
  <c r="B114"/>
  <c r="AF113"/>
  <c r="AE113"/>
  <c r="AD113"/>
  <c r="AC113"/>
  <c r="B113"/>
  <c r="AF112"/>
  <c r="AE112"/>
  <c r="AD112"/>
  <c r="AC112"/>
  <c r="B112"/>
  <c r="AF111"/>
  <c r="AE111"/>
  <c r="AD111"/>
  <c r="AC111"/>
  <c r="B111"/>
  <c r="AF110"/>
  <c r="AE110"/>
  <c r="AD110"/>
  <c r="AC110"/>
  <c r="B110"/>
  <c r="AF109"/>
  <c r="AE109"/>
  <c r="AD109"/>
  <c r="AC109"/>
  <c r="B109"/>
  <c r="AF108"/>
  <c r="AE108"/>
  <c r="AD108"/>
  <c r="AC108"/>
  <c r="B108"/>
  <c r="AF107"/>
  <c r="AE107"/>
  <c r="AD107"/>
  <c r="AC107"/>
  <c r="B107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B106"/>
  <c r="AF105"/>
  <c r="AE105"/>
  <c r="AD105"/>
  <c r="AC105"/>
  <c r="B105"/>
  <c r="AF104"/>
  <c r="AE104"/>
  <c r="AD104"/>
  <c r="AC104"/>
  <c r="C104"/>
  <c r="B103"/>
  <c r="AF100"/>
  <c r="AE100"/>
  <c r="AD100"/>
  <c r="AC100"/>
  <c r="B100"/>
  <c r="AF99"/>
  <c r="AF103" s="1"/>
  <c r="AE99"/>
  <c r="AD99"/>
  <c r="AC99"/>
  <c r="B99"/>
  <c r="B98"/>
  <c r="AF97"/>
  <c r="AE97"/>
  <c r="AD97"/>
  <c r="AC97"/>
  <c r="B97"/>
  <c r="AF96"/>
  <c r="AE96"/>
  <c r="AE98" s="1"/>
  <c r="AD96"/>
  <c r="AC96"/>
  <c r="B96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B95"/>
  <c r="AF94"/>
  <c r="AE94"/>
  <c r="AD94"/>
  <c r="AC94"/>
  <c r="B94"/>
  <c r="AF93"/>
  <c r="AE93"/>
  <c r="AD93"/>
  <c r="AC93"/>
  <c r="B93"/>
  <c r="AF92"/>
  <c r="AE92"/>
  <c r="AD92"/>
  <c r="AC92"/>
  <c r="B92"/>
  <c r="AF91"/>
  <c r="AE91"/>
  <c r="AD91"/>
  <c r="AC91"/>
  <c r="B91"/>
  <c r="Z90"/>
  <c r="Y90"/>
  <c r="X90"/>
  <c r="W90"/>
  <c r="T90"/>
  <c r="S90"/>
  <c r="R90"/>
  <c r="Q90"/>
  <c r="N90"/>
  <c r="M90"/>
  <c r="L90"/>
  <c r="K90"/>
  <c r="H90"/>
  <c r="G90"/>
  <c r="F90"/>
  <c r="E90"/>
  <c r="B90"/>
  <c r="AB90"/>
  <c r="AA90"/>
  <c r="V90"/>
  <c r="U90"/>
  <c r="P90"/>
  <c r="O90"/>
  <c r="J90"/>
  <c r="I90"/>
  <c r="AF88"/>
  <c r="AE88"/>
  <c r="AD88"/>
  <c r="AC88"/>
  <c r="B88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B87"/>
  <c r="AF85"/>
  <c r="AE85"/>
  <c r="AD85"/>
  <c r="AC85"/>
  <c r="B85"/>
  <c r="AF84"/>
  <c r="AE84"/>
  <c r="AD84"/>
  <c r="AC84"/>
  <c r="B84"/>
  <c r="AF83"/>
  <c r="AE83"/>
  <c r="AD83"/>
  <c r="AC83"/>
  <c r="B83"/>
  <c r="AF82"/>
  <c r="AE82"/>
  <c r="AD82"/>
  <c r="AC82"/>
  <c r="B82"/>
  <c r="AF81"/>
  <c r="AE81"/>
  <c r="AD81"/>
  <c r="AC81"/>
  <c r="B81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B80"/>
  <c r="AF79"/>
  <c r="AE79"/>
  <c r="AD79"/>
  <c r="AC79"/>
  <c r="B79"/>
  <c r="AF78"/>
  <c r="AE78"/>
  <c r="AD78"/>
  <c r="AC78"/>
  <c r="B78"/>
  <c r="AF77"/>
  <c r="AE77"/>
  <c r="AD77"/>
  <c r="AC77"/>
  <c r="B77"/>
  <c r="AF76"/>
  <c r="AE76"/>
  <c r="AD76"/>
  <c r="AC76"/>
  <c r="B76"/>
  <c r="B75"/>
  <c r="AF74"/>
  <c r="AE74"/>
  <c r="AD74"/>
  <c r="AC74"/>
  <c r="B74"/>
  <c r="AF73"/>
  <c r="AE73"/>
  <c r="AD73"/>
  <c r="AC73"/>
  <c r="B73"/>
  <c r="AF72"/>
  <c r="AE72"/>
  <c r="AD72"/>
  <c r="AC72"/>
  <c r="B72"/>
  <c r="B71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B70"/>
  <c r="AF69"/>
  <c r="AE69"/>
  <c r="AD69"/>
  <c r="AC69"/>
  <c r="B69"/>
  <c r="AF68"/>
  <c r="AE68"/>
  <c r="AD68"/>
  <c r="AC68"/>
  <c r="B68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B67"/>
  <c r="B66"/>
  <c r="AF65"/>
  <c r="AE65"/>
  <c r="AD65"/>
  <c r="AC65"/>
  <c r="B65"/>
  <c r="AF64"/>
  <c r="AE64"/>
  <c r="AD64"/>
  <c r="AC64"/>
  <c r="B64"/>
  <c r="AF63"/>
  <c r="AE63"/>
  <c r="AD63"/>
  <c r="AC63"/>
  <c r="B63"/>
  <c r="AF62"/>
  <c r="AE62"/>
  <c r="AD62"/>
  <c r="AC62"/>
  <c r="B62"/>
  <c r="AF61"/>
  <c r="AE61"/>
  <c r="AD61"/>
  <c r="AC61"/>
  <c r="B61"/>
  <c r="AF60"/>
  <c r="AE60"/>
  <c r="AD60"/>
  <c r="AC60"/>
  <c r="B60"/>
  <c r="AF59"/>
  <c r="AE59"/>
  <c r="AD59"/>
  <c r="AC59"/>
  <c r="B59"/>
  <c r="AF58"/>
  <c r="AE58"/>
  <c r="AD58"/>
  <c r="AC58"/>
  <c r="B58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C57"/>
  <c r="AF56"/>
  <c r="AF57" s="1"/>
  <c r="AE56"/>
  <c r="AE57" s="1"/>
  <c r="AD56"/>
  <c r="AD57" s="1"/>
  <c r="AC56"/>
  <c r="AC57" s="1"/>
  <c r="B56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B55"/>
  <c r="AF54"/>
  <c r="AE54"/>
  <c r="AD54"/>
  <c r="AC54"/>
  <c r="B54"/>
  <c r="AF53"/>
  <c r="AE53"/>
  <c r="AD53"/>
  <c r="AC53"/>
  <c r="B53"/>
  <c r="AF52"/>
  <c r="AE52"/>
  <c r="AD52"/>
  <c r="AC52"/>
  <c r="B52"/>
  <c r="AF51"/>
  <c r="AE51"/>
  <c r="AD51"/>
  <c r="AC51"/>
  <c r="B51"/>
  <c r="AF50"/>
  <c r="AE50"/>
  <c r="AD50"/>
  <c r="AC50"/>
  <c r="B50"/>
  <c r="AF49"/>
  <c r="AE49"/>
  <c r="AD49"/>
  <c r="AC49"/>
  <c r="B49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B48"/>
  <c r="AF46"/>
  <c r="AE46"/>
  <c r="AD46"/>
  <c r="AC46"/>
  <c r="B46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B45"/>
  <c r="AF44"/>
  <c r="AE44"/>
  <c r="AD44"/>
  <c r="AC44"/>
  <c r="B44"/>
  <c r="AF43"/>
  <c r="AE43"/>
  <c r="AD43"/>
  <c r="AC43"/>
  <c r="B43"/>
  <c r="AF42"/>
  <c r="AE42"/>
  <c r="AD42"/>
  <c r="AC42"/>
  <c r="B42"/>
  <c r="AF41"/>
  <c r="AE41"/>
  <c r="AD41"/>
  <c r="AC41"/>
  <c r="B41"/>
  <c r="AF40"/>
  <c r="AE40"/>
  <c r="AD40"/>
  <c r="AC40"/>
  <c r="B40"/>
  <c r="AF39"/>
  <c r="AE39"/>
  <c r="AD39"/>
  <c r="AC39"/>
  <c r="B39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B38"/>
  <c r="AF37"/>
  <c r="AE37"/>
  <c r="AD37"/>
  <c r="AC37"/>
  <c r="B37"/>
  <c r="AE36"/>
  <c r="B36"/>
  <c r="AF35"/>
  <c r="AE35"/>
  <c r="AD35"/>
  <c r="AC35"/>
  <c r="B35"/>
  <c r="AF34"/>
  <c r="AE34"/>
  <c r="AD34"/>
  <c r="AC34"/>
  <c r="C34"/>
  <c r="AF33"/>
  <c r="AE33"/>
  <c r="AD33"/>
  <c r="AC33"/>
  <c r="B33"/>
  <c r="AF32"/>
  <c r="AE32"/>
  <c r="AD32"/>
  <c r="AC32"/>
  <c r="B32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B31"/>
  <c r="AF30"/>
  <c r="AE30"/>
  <c r="AD30"/>
  <c r="AC30"/>
  <c r="B30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AF28"/>
  <c r="AE28"/>
  <c r="AD28"/>
  <c r="AC28"/>
  <c r="B28"/>
  <c r="AF25"/>
  <c r="AE25"/>
  <c r="AD25"/>
  <c r="AC25"/>
  <c r="AF24"/>
  <c r="AE24"/>
  <c r="AD24"/>
  <c r="AC24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B23"/>
  <c r="AF22"/>
  <c r="AE22"/>
  <c r="AD22"/>
  <c r="AC22"/>
  <c r="B22"/>
  <c r="AF21"/>
  <c r="AE21"/>
  <c r="AD21"/>
  <c r="AC21"/>
  <c r="B21"/>
  <c r="AF20"/>
  <c r="AE20"/>
  <c r="AD20"/>
  <c r="AC20"/>
  <c r="B20"/>
  <c r="B19"/>
  <c r="C19" s="1"/>
  <c r="B18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B17"/>
  <c r="AF16"/>
  <c r="AE16"/>
  <c r="AD16"/>
  <c r="AC16"/>
  <c r="B16"/>
  <c r="AF15"/>
  <c r="AE15"/>
  <c r="AD15"/>
  <c r="AC15"/>
  <c r="B15"/>
  <c r="B14"/>
  <c r="B13"/>
  <c r="B12"/>
  <c r="C12" s="1"/>
  <c r="B10"/>
  <c r="C10" s="1"/>
  <c r="A23" i="105"/>
  <c r="AE31" i="134" l="1"/>
  <c r="AE38"/>
  <c r="AH39"/>
  <c r="AH43"/>
  <c r="AH46"/>
  <c r="AH51"/>
  <c r="AH59"/>
  <c r="AH63"/>
  <c r="AH74"/>
  <c r="AH77"/>
  <c r="AH42"/>
  <c r="AF48"/>
  <c r="AH50"/>
  <c r="AH54"/>
  <c r="AH62"/>
  <c r="AH65"/>
  <c r="AH84"/>
  <c r="AH120"/>
  <c r="AH33"/>
  <c r="AG34"/>
  <c r="AD48"/>
  <c r="AH48" s="1"/>
  <c r="AH52"/>
  <c r="AH78"/>
  <c r="AH82"/>
  <c r="AH94"/>
  <c r="AH108"/>
  <c r="AH112"/>
  <c r="AH116"/>
  <c r="AH122"/>
  <c r="AH126"/>
  <c r="AH130"/>
  <c r="AH134"/>
  <c r="AH24"/>
  <c r="AF98"/>
  <c r="AC103"/>
  <c r="AH85"/>
  <c r="AH93"/>
  <c r="AH97"/>
  <c r="AH111"/>
  <c r="AH115"/>
  <c r="AH121"/>
  <c r="AG122"/>
  <c r="AH133"/>
  <c r="AH69"/>
  <c r="AH92"/>
  <c r="AH20"/>
  <c r="AH16"/>
  <c r="AH22"/>
  <c r="AH28"/>
  <c r="AH35"/>
  <c r="AH73"/>
  <c r="AD98"/>
  <c r="AE103"/>
  <c r="AH100"/>
  <c r="AH110"/>
  <c r="AH114"/>
  <c r="AH25"/>
  <c r="AH13"/>
  <c r="AH14" s="1"/>
  <c r="AH34"/>
  <c r="AH37"/>
  <c r="AH38" s="1"/>
  <c r="AH44"/>
  <c r="AE48"/>
  <c r="AH53"/>
  <c r="AH61"/>
  <c r="AH72"/>
  <c r="AH76"/>
  <c r="AH79"/>
  <c r="AH83"/>
  <c r="AC98"/>
  <c r="AD103"/>
  <c r="AH105"/>
  <c r="AH109"/>
  <c r="AH113"/>
  <c r="AH123"/>
  <c r="AH127"/>
  <c r="AH135"/>
  <c r="AH60"/>
  <c r="AH64"/>
  <c r="H168"/>
  <c r="G168" s="1"/>
  <c r="F168" s="1"/>
  <c r="E168" s="1"/>
  <c r="L168"/>
  <c r="K168" s="1"/>
  <c r="T168"/>
  <c r="S168" s="1"/>
  <c r="R168" s="1"/>
  <c r="X168"/>
  <c r="W168" s="1"/>
  <c r="I168"/>
  <c r="M168"/>
  <c r="Q168"/>
  <c r="U168"/>
  <c r="Y168"/>
  <c r="AF14"/>
  <c r="AE17"/>
  <c r="C13"/>
  <c r="AH41"/>
  <c r="AD67"/>
  <c r="AF67"/>
  <c r="C59"/>
  <c r="C61"/>
  <c r="C63"/>
  <c r="AE70"/>
  <c r="AD90"/>
  <c r="AF90"/>
  <c r="C66"/>
  <c r="C68"/>
  <c r="C70"/>
  <c r="AD80"/>
  <c r="AF80"/>
  <c r="AE87"/>
  <c r="AE95"/>
  <c r="AD106"/>
  <c r="AF106"/>
  <c r="AC124"/>
  <c r="AE124"/>
  <c r="AC128"/>
  <c r="AE128"/>
  <c r="AE131"/>
  <c r="C15"/>
  <c r="C17"/>
  <c r="C20"/>
  <c r="AE23"/>
  <c r="AD23"/>
  <c r="AF23"/>
  <c r="C22"/>
  <c r="C24"/>
  <c r="AE29"/>
  <c r="AD29"/>
  <c r="AF29"/>
  <c r="C25"/>
  <c r="C28"/>
  <c r="C30"/>
  <c r="C31"/>
  <c r="AD36"/>
  <c r="AF36"/>
  <c r="C39"/>
  <c r="AE45"/>
  <c r="AD45"/>
  <c r="AF45"/>
  <c r="C41"/>
  <c r="C43"/>
  <c r="C44"/>
  <c r="C46"/>
  <c r="C49"/>
  <c r="AE55"/>
  <c r="C51"/>
  <c r="C53"/>
  <c r="C55"/>
  <c r="AE14"/>
  <c r="AD17"/>
  <c r="AF17"/>
  <c r="AD31"/>
  <c r="AF31"/>
  <c r="C32"/>
  <c r="C36"/>
  <c r="C38"/>
  <c r="AD38"/>
  <c r="AD55"/>
  <c r="AF55"/>
  <c r="AE67"/>
  <c r="AD70"/>
  <c r="AF70"/>
  <c r="C71"/>
  <c r="AE80"/>
  <c r="C73"/>
  <c r="C75"/>
  <c r="C78"/>
  <c r="C80"/>
  <c r="AD87"/>
  <c r="AF87"/>
  <c r="C82"/>
  <c r="C84"/>
  <c r="C88"/>
  <c r="AE90"/>
  <c r="C90"/>
  <c r="AD95"/>
  <c r="AF95"/>
  <c r="C92"/>
  <c r="C94"/>
  <c r="C96"/>
  <c r="C98"/>
  <c r="C100"/>
  <c r="AC106"/>
  <c r="AE106"/>
  <c r="C106"/>
  <c r="AD124"/>
  <c r="AF124"/>
  <c r="C108"/>
  <c r="C110"/>
  <c r="C112"/>
  <c r="C114"/>
  <c r="C116"/>
  <c r="C120"/>
  <c r="C124"/>
  <c r="AD128"/>
  <c r="AF128"/>
  <c r="C126"/>
  <c r="C128"/>
  <c r="AD131"/>
  <c r="AF131"/>
  <c r="C130"/>
  <c r="C134"/>
  <c r="J168"/>
  <c r="P168"/>
  <c r="O168" s="1"/>
  <c r="N168" s="1"/>
  <c r="V168"/>
  <c r="AB168"/>
  <c r="AA168" s="1"/>
  <c r="Z168" s="1"/>
  <c r="C132"/>
  <c r="AC140"/>
  <c r="AG13"/>
  <c r="AD14"/>
  <c r="AC17"/>
  <c r="AG20"/>
  <c r="AH21"/>
  <c r="AG22"/>
  <c r="AG24"/>
  <c r="AG25"/>
  <c r="AG28"/>
  <c r="AG30"/>
  <c r="AC31"/>
  <c r="AG32"/>
  <c r="AC36"/>
  <c r="AG36" s="1"/>
  <c r="AC38"/>
  <c r="AG39"/>
  <c r="AH40"/>
  <c r="AG41"/>
  <c r="AG43"/>
  <c r="AG44"/>
  <c r="AG46"/>
  <c r="AG49"/>
  <c r="AG51"/>
  <c r="AG53"/>
  <c r="AC55"/>
  <c r="AH56"/>
  <c r="AH57" s="1"/>
  <c r="AH58"/>
  <c r="AG59"/>
  <c r="AG61"/>
  <c r="AG63"/>
  <c r="AG68"/>
  <c r="AC70"/>
  <c r="AG73"/>
  <c r="AG78"/>
  <c r="AC80"/>
  <c r="AH81"/>
  <c r="AG82"/>
  <c r="AG84"/>
  <c r="AG88"/>
  <c r="AC90"/>
  <c r="AH91"/>
  <c r="AG92"/>
  <c r="AG94"/>
  <c r="AG96"/>
  <c r="AH99"/>
  <c r="AG100"/>
  <c r="AG104"/>
  <c r="AH107"/>
  <c r="AG108"/>
  <c r="AG110"/>
  <c r="AG112"/>
  <c r="AG114"/>
  <c r="AG116"/>
  <c r="AG120"/>
  <c r="AH125"/>
  <c r="AG126"/>
  <c r="AH129"/>
  <c r="AG130"/>
  <c r="AG132"/>
  <c r="AG134"/>
  <c r="AG15"/>
  <c r="C14"/>
  <c r="AC14"/>
  <c r="AH15"/>
  <c r="C16"/>
  <c r="AG16"/>
  <c r="C18"/>
  <c r="C21"/>
  <c r="AG21"/>
  <c r="C23"/>
  <c r="AC23"/>
  <c r="C29"/>
  <c r="AC29"/>
  <c r="AH30"/>
  <c r="AH31" s="1"/>
  <c r="AH32"/>
  <c r="C33"/>
  <c r="AG33"/>
  <c r="C35"/>
  <c r="AG35"/>
  <c r="C37"/>
  <c r="AG37"/>
  <c r="C40"/>
  <c r="AG40"/>
  <c r="C42"/>
  <c r="AG42"/>
  <c r="C45"/>
  <c r="AC45"/>
  <c r="C48"/>
  <c r="AC48"/>
  <c r="AH49"/>
  <c r="C50"/>
  <c r="AG50"/>
  <c r="C52"/>
  <c r="AG52"/>
  <c r="C54"/>
  <c r="AG54"/>
  <c r="C56"/>
  <c r="AG56"/>
  <c r="AG57" s="1"/>
  <c r="C58"/>
  <c r="AG58"/>
  <c r="C60"/>
  <c r="AG60"/>
  <c r="C62"/>
  <c r="AG62"/>
  <c r="C64"/>
  <c r="AG64"/>
  <c r="C65"/>
  <c r="AG65"/>
  <c r="C67"/>
  <c r="AC67"/>
  <c r="AH68"/>
  <c r="C69"/>
  <c r="AG69"/>
  <c r="C72"/>
  <c r="AG72"/>
  <c r="C74"/>
  <c r="AG74"/>
  <c r="C76"/>
  <c r="AG76"/>
  <c r="C77"/>
  <c r="AG77"/>
  <c r="C79"/>
  <c r="AG79"/>
  <c r="C81"/>
  <c r="AG81"/>
  <c r="C83"/>
  <c r="AG83"/>
  <c r="C85"/>
  <c r="AG85"/>
  <c r="C87"/>
  <c r="AC87"/>
  <c r="AH88"/>
  <c r="AH90" s="1"/>
  <c r="C91"/>
  <c r="AG91"/>
  <c r="C93"/>
  <c r="AG93"/>
  <c r="C95"/>
  <c r="AC95"/>
  <c r="AH96"/>
  <c r="C97"/>
  <c r="AG97"/>
  <c r="C99"/>
  <c r="AG99"/>
  <c r="C103"/>
  <c r="AH104"/>
  <c r="C105"/>
  <c r="AG105"/>
  <c r="C107"/>
  <c r="AG107"/>
  <c r="C109"/>
  <c r="AG109"/>
  <c r="C111"/>
  <c r="AG111"/>
  <c r="C113"/>
  <c r="AG113"/>
  <c r="C115"/>
  <c r="AG115"/>
  <c r="C121"/>
  <c r="AG121"/>
  <c r="C123"/>
  <c r="AG123"/>
  <c r="C125"/>
  <c r="AG125"/>
  <c r="C127"/>
  <c r="AG127"/>
  <c r="C129"/>
  <c r="AG129"/>
  <c r="C131"/>
  <c r="AC131"/>
  <c r="AD140"/>
  <c r="AF140"/>
  <c r="AE140" s="1"/>
  <c r="AH132"/>
  <c r="C133"/>
  <c r="AG133"/>
  <c r="C135"/>
  <c r="AG135"/>
  <c r="H20" i="104"/>
  <c r="H15"/>
  <c r="H12"/>
  <c r="A27" i="103"/>
  <c r="I52" i="138"/>
  <c r="AH70" i="134" l="1"/>
  <c r="AH106"/>
  <c r="AG103"/>
  <c r="AH128"/>
  <c r="AG38"/>
  <c r="AF38" s="1"/>
  <c r="AG48"/>
  <c r="AG31"/>
  <c r="AH80"/>
  <c r="AH98"/>
  <c r="AH131"/>
  <c r="AH140"/>
  <c r="AH55"/>
  <c r="AH36"/>
  <c r="AH124"/>
  <c r="AH87"/>
  <c r="AH103"/>
  <c r="AG90"/>
  <c r="AH67"/>
  <c r="AH95"/>
  <c r="AH23"/>
  <c r="AH17"/>
  <c r="AG98"/>
  <c r="AH29"/>
  <c r="AH45"/>
  <c r="AE168"/>
  <c r="AD168" s="1"/>
  <c r="AG131"/>
  <c r="AG14"/>
  <c r="AG140"/>
  <c r="AG87"/>
  <c r="AG67"/>
  <c r="AG80"/>
  <c r="AG23"/>
  <c r="AC168"/>
  <c r="AG128"/>
  <c r="AG124"/>
  <c r="AG95"/>
  <c r="AG70"/>
  <c r="AG17"/>
  <c r="AG106"/>
  <c r="AG55"/>
  <c r="AG45"/>
  <c r="AG29"/>
  <c r="E25" i="104"/>
  <c r="H21"/>
  <c r="H23"/>
  <c r="B39"/>
  <c r="H22"/>
  <c r="D25"/>
  <c r="H17"/>
  <c r="H10"/>
  <c r="H16"/>
  <c r="AH168" i="134" l="1"/>
  <c r="AL160" s="1"/>
  <c r="AG168"/>
  <c r="AF168" s="1"/>
  <c r="C25" i="104"/>
  <c r="G25" s="1"/>
  <c r="F25" s="1"/>
  <c r="H13"/>
  <c r="H18"/>
  <c r="E26" i="103"/>
  <c r="D26" s="1"/>
  <c r="C26" s="1"/>
  <c r="B26" s="1"/>
  <c r="H25" i="104" l="1"/>
  <c r="H26" i="103"/>
  <c r="I26" s="1"/>
  <c r="G26" l="1"/>
  <c r="F26" s="1"/>
  <c r="H24" i="104" l="1"/>
  <c r="C23" i="118" l="1"/>
  <c r="C24" s="1"/>
  <c r="C25" s="1"/>
  <c r="E22"/>
  <c r="D23" l="1"/>
  <c r="D24" s="1"/>
  <c r="D25" s="1"/>
  <c r="E23" l="1"/>
  <c r="E24"/>
  <c r="I59" i="129"/>
  <c r="C59"/>
  <c r="H59"/>
  <c r="J15" i="131"/>
  <c r="L15" s="1"/>
  <c r="K15"/>
</calcChain>
</file>

<file path=xl/sharedStrings.xml><?xml version="1.0" encoding="utf-8"?>
<sst xmlns="http://schemas.openxmlformats.org/spreadsheetml/2006/main" count="4542" uniqueCount="1034">
  <si>
    <t>Tableau I</t>
  </si>
  <si>
    <t>Postes publiés vacants</t>
  </si>
  <si>
    <t>Postes pourvus par mutation</t>
  </si>
  <si>
    <t>Postes pourvus par détachement</t>
  </si>
  <si>
    <t>Postes pourvus par mutation ou détachement</t>
  </si>
  <si>
    <t>Total Général</t>
  </si>
  <si>
    <t>Tableau I - a</t>
  </si>
  <si>
    <t xml:space="preserve">                                                              </t>
  </si>
  <si>
    <t>Section</t>
  </si>
  <si>
    <t>01</t>
  </si>
  <si>
    <t>Droit privé et sciences criminelles</t>
  </si>
  <si>
    <t>02</t>
  </si>
  <si>
    <t>Droit public</t>
  </si>
  <si>
    <t>03</t>
  </si>
  <si>
    <t>Histoire du droit et des institutions</t>
  </si>
  <si>
    <t>04</t>
  </si>
  <si>
    <t>Science politique</t>
  </si>
  <si>
    <t>05</t>
  </si>
  <si>
    <t xml:space="preserve">Sciences économiques </t>
  </si>
  <si>
    <t>06</t>
  </si>
  <si>
    <t>Sciences de gestion</t>
  </si>
  <si>
    <t>07</t>
  </si>
  <si>
    <t>Sciences du langage : linguistique et phonétique générales</t>
  </si>
  <si>
    <t>08</t>
  </si>
  <si>
    <t>Langues et littératures anciennes</t>
  </si>
  <si>
    <t>09</t>
  </si>
  <si>
    <t>Langue et littérature françaises</t>
  </si>
  <si>
    <t>10</t>
  </si>
  <si>
    <t>Littératures comparées</t>
  </si>
  <si>
    <t>11</t>
  </si>
  <si>
    <t>Langues et littératures anglaises et anglo-saxonnes</t>
  </si>
  <si>
    <t>12</t>
  </si>
  <si>
    <t>Langues et littératures germaniques et scandinaves</t>
  </si>
  <si>
    <t>13</t>
  </si>
  <si>
    <t>Langues et littératures slaves</t>
  </si>
  <si>
    <t>14</t>
  </si>
  <si>
    <t xml:space="preserve">Langues et littératures romanes : espagnol, italien, portugais, autres langues romanes </t>
  </si>
  <si>
    <t>15</t>
  </si>
  <si>
    <t>16</t>
  </si>
  <si>
    <t>Psychologie, psychologie clinique, psychologie sociale</t>
  </si>
  <si>
    <t>17</t>
  </si>
  <si>
    <t>Philosophie</t>
  </si>
  <si>
    <t>18</t>
  </si>
  <si>
    <t>19</t>
  </si>
  <si>
    <t>Sociologie, démographie</t>
  </si>
  <si>
    <t>20</t>
  </si>
  <si>
    <t>21</t>
  </si>
  <si>
    <t>22</t>
  </si>
  <si>
    <t>23</t>
  </si>
  <si>
    <t>Géographie physique, humaine, économique et régionale</t>
  </si>
  <si>
    <t>24</t>
  </si>
  <si>
    <t>Aménagement de l'espace, urbanisme</t>
  </si>
  <si>
    <t>25</t>
  </si>
  <si>
    <t>Mathématiques</t>
  </si>
  <si>
    <t>26</t>
  </si>
  <si>
    <t>Mathématiques appliquées et applications des mathématiques</t>
  </si>
  <si>
    <t>27</t>
  </si>
  <si>
    <t>Informatique</t>
  </si>
  <si>
    <t>28</t>
  </si>
  <si>
    <t>Milieux denses et matériaux</t>
  </si>
  <si>
    <t>29</t>
  </si>
  <si>
    <t>Constituants élémentaires</t>
  </si>
  <si>
    <t>30</t>
  </si>
  <si>
    <t>Milieux dilués et optique</t>
  </si>
  <si>
    <t>31</t>
  </si>
  <si>
    <t>Chimie théorique, physique, analytique</t>
  </si>
  <si>
    <t>32</t>
  </si>
  <si>
    <t>Chimie organique, minérale, industrielle</t>
  </si>
  <si>
    <t>33</t>
  </si>
  <si>
    <t>Chimie des matériaux</t>
  </si>
  <si>
    <t>34</t>
  </si>
  <si>
    <t>Astronomie, astrophysique</t>
  </si>
  <si>
    <t>35</t>
  </si>
  <si>
    <t>Structure et évolution de la Terre et des autres planètes</t>
  </si>
  <si>
    <t>36</t>
  </si>
  <si>
    <t>Terre solide : géodynamique des enveloppes supérieures, paléo-biosphère</t>
  </si>
  <si>
    <t>37</t>
  </si>
  <si>
    <t xml:space="preserve">Météorologie, océanographie physique et physique de l'environnement </t>
  </si>
  <si>
    <t>60</t>
  </si>
  <si>
    <t>Mécanique, génie mécanique, génie civil</t>
  </si>
  <si>
    <t>61</t>
  </si>
  <si>
    <t>Génie informatique, automatique et traitement du signal</t>
  </si>
  <si>
    <t>62</t>
  </si>
  <si>
    <t>Energétique, génie des procédés</t>
  </si>
  <si>
    <t>63</t>
  </si>
  <si>
    <t>64</t>
  </si>
  <si>
    <t>Biochimie et biologie moléculaire</t>
  </si>
  <si>
    <t>65</t>
  </si>
  <si>
    <t>Biologie cellulaire</t>
  </si>
  <si>
    <t>66</t>
  </si>
  <si>
    <t>Physiologie</t>
  </si>
  <si>
    <t>67</t>
  </si>
  <si>
    <t>Biologie des populations et écologie</t>
  </si>
  <si>
    <t>68</t>
  </si>
  <si>
    <t>Biologie des organismes</t>
  </si>
  <si>
    <t>69</t>
  </si>
  <si>
    <t>Neurosciences</t>
  </si>
  <si>
    <t>70</t>
  </si>
  <si>
    <t>Sciences de l'éducation</t>
  </si>
  <si>
    <t>71</t>
  </si>
  <si>
    <t>Sciences de l'information et de la communication</t>
  </si>
  <si>
    <t>73</t>
  </si>
  <si>
    <t>Cultures et langues régionales</t>
  </si>
  <si>
    <t>74</t>
  </si>
  <si>
    <t>Sciences et techniques des activités physiques et sportives</t>
  </si>
  <si>
    <t>TOUTES SECTIONS CONFONDUES</t>
  </si>
  <si>
    <t>Tableau I - b</t>
  </si>
  <si>
    <t>Tableau I - c</t>
  </si>
  <si>
    <t>Tableau II</t>
  </si>
  <si>
    <t>Postes offerts au recrutement</t>
  </si>
  <si>
    <t xml:space="preserve">Postes pourvus </t>
  </si>
  <si>
    <t>Sous-Total 1</t>
  </si>
  <si>
    <t>Sous-Total 2</t>
  </si>
  <si>
    <t>TOTAL GENERAL</t>
  </si>
  <si>
    <t>Tableau II - a</t>
  </si>
  <si>
    <t>Tableau II - b</t>
  </si>
  <si>
    <t>Tableau III - a</t>
  </si>
  <si>
    <t>Epistémologie, histoire des sciences et des techniques</t>
  </si>
  <si>
    <t>Tableau III - c</t>
  </si>
  <si>
    <t>Dossiers examinés</t>
  </si>
  <si>
    <t>Candidats retenus</t>
  </si>
  <si>
    <t>Taux de qualification</t>
  </si>
  <si>
    <t>Langues et littératures arabes, chinoises, japonaises, hébraïques, d'autres domaines linguistiques</t>
  </si>
  <si>
    <r>
      <t>*</t>
    </r>
    <r>
      <rPr>
        <i/>
        <sz val="10"/>
        <rFont val="Times New Roman"/>
        <family val="1"/>
      </rPr>
      <t xml:space="preserve"> Rappel : un même candidat peut être qualifié dans plusieurs sections</t>
    </r>
  </si>
  <si>
    <t>Professeurs des universités</t>
  </si>
  <si>
    <t>Titre de la section</t>
  </si>
  <si>
    <t>Postes</t>
  </si>
  <si>
    <t>Candidats</t>
  </si>
  <si>
    <t>Admissibles</t>
  </si>
  <si>
    <t>Admis</t>
  </si>
  <si>
    <t>Auditionnés</t>
  </si>
  <si>
    <t>Retenus</t>
  </si>
  <si>
    <t>Article 26-I-1 : mutations et détachements</t>
  </si>
  <si>
    <t>Article 26-I-1 : concours externes</t>
  </si>
  <si>
    <t>Article 26-I-2 : concours réservés aux enseignants du 2nd degré</t>
  </si>
  <si>
    <t>Non vacant</t>
  </si>
  <si>
    <t>Absence de canditature</t>
  </si>
  <si>
    <t>Total non pourvus</t>
  </si>
  <si>
    <t>TOTAL</t>
  </si>
  <si>
    <t>% (*)</t>
  </si>
  <si>
    <t>Tableau V</t>
  </si>
  <si>
    <t>% Postes pourvus par mutation ou détachement</t>
  </si>
  <si>
    <t>72</t>
  </si>
  <si>
    <t>Maîtres de conférences</t>
  </si>
  <si>
    <t>Postes offerts</t>
  </si>
  <si>
    <t>Postes  non pourvus</t>
  </si>
  <si>
    <t>Postes pourvus</t>
  </si>
  <si>
    <t>TOTAL DROIT</t>
  </si>
  <si>
    <t>TOTAL LETTRES</t>
  </si>
  <si>
    <t>TOTAL SCIENCES</t>
  </si>
  <si>
    <t>PHARMACIE</t>
  </si>
  <si>
    <t>Taux de couverture</t>
  </si>
  <si>
    <t>Théologie</t>
  </si>
  <si>
    <t>Hommes</t>
  </si>
  <si>
    <t>Femmes</t>
  </si>
  <si>
    <t>Total</t>
  </si>
  <si>
    <t>Agrégation externe ( article 49-2-1 )</t>
  </si>
  <si>
    <t>Total des postes pourvus</t>
  </si>
  <si>
    <t>Postes non pourvus</t>
  </si>
  <si>
    <t>Nombre</t>
  </si>
  <si>
    <t xml:space="preserve"> - article 51 (1) : </t>
  </si>
  <si>
    <t>Total  Maîtres de conférences</t>
  </si>
  <si>
    <t xml:space="preserve">Professeurs des universités </t>
  </si>
  <si>
    <t xml:space="preserve">Total  Professeurs des universités </t>
  </si>
  <si>
    <t>Total Maîtres de conférences</t>
  </si>
  <si>
    <t xml:space="preserve">Total Professeurs des universités </t>
  </si>
  <si>
    <t>Total nommés</t>
  </si>
  <si>
    <t>Total toutes 
années de qualification confondues</t>
  </si>
  <si>
    <t>Tableau I - d</t>
  </si>
  <si>
    <t>AIX-MARSEILLE</t>
  </si>
  <si>
    <t>AMIENS</t>
  </si>
  <si>
    <t>BESANCON</t>
  </si>
  <si>
    <t>BORDEAUX</t>
  </si>
  <si>
    <t>CAEN</t>
  </si>
  <si>
    <t>CRETEIL</t>
  </si>
  <si>
    <t>DIJON</t>
  </si>
  <si>
    <t>GRENOBLE</t>
  </si>
  <si>
    <t>LILLE</t>
  </si>
  <si>
    <t>LIMOGES</t>
  </si>
  <si>
    <t>LYON</t>
  </si>
  <si>
    <t>MONTPELLIER</t>
  </si>
  <si>
    <t>NANCY-METZ</t>
  </si>
  <si>
    <t>NANTES</t>
  </si>
  <si>
    <t>NICE</t>
  </si>
  <si>
    <t>ORLEANS-TOURS</t>
  </si>
  <si>
    <t>PARIS</t>
  </si>
  <si>
    <t>POITIERS</t>
  </si>
  <si>
    <t>REIMS</t>
  </si>
  <si>
    <t>RENNES</t>
  </si>
  <si>
    <t>ROUEN</t>
  </si>
  <si>
    <t>STRASBOURG</t>
  </si>
  <si>
    <t>TOULOUSE</t>
  </si>
  <si>
    <t>VERSAILLES</t>
  </si>
  <si>
    <t>DROIT</t>
  </si>
  <si>
    <t>LETTRES</t>
  </si>
  <si>
    <t>TOTAL  LETTRES</t>
  </si>
  <si>
    <t>SCIENCES</t>
  </si>
  <si>
    <t>TOTAL  SCIENCES</t>
  </si>
  <si>
    <t>Tableau I - e</t>
  </si>
  <si>
    <t>LA REUNION</t>
  </si>
  <si>
    <t>Théologie catholique</t>
  </si>
  <si>
    <t>Théologie protestante</t>
  </si>
  <si>
    <t>77</t>
  </si>
  <si>
    <t>CLERMONT-FERRAND</t>
  </si>
  <si>
    <t>CORSE</t>
  </si>
  <si>
    <t>Physique</t>
  </si>
  <si>
    <t>Chimie</t>
  </si>
  <si>
    <t>Sciences de la terre</t>
  </si>
  <si>
    <t>Mécanique, génie mécanique,
génie informatique, énergétique</t>
  </si>
  <si>
    <t>Biologie et biochimie</t>
  </si>
  <si>
    <t>Pharmacie</t>
  </si>
  <si>
    <t>Groupe interdisciplinaire</t>
  </si>
  <si>
    <t>Tableau I - f</t>
  </si>
  <si>
    <t>Solde des mouvements PR</t>
  </si>
  <si>
    <t>Solde des mouvements MCF</t>
  </si>
  <si>
    <t>III - Professeurs des universités et Maîtres de conférences</t>
  </si>
  <si>
    <t>Section 
du CNU</t>
  </si>
  <si>
    <t>LETTTRES</t>
  </si>
  <si>
    <t>% par
rapport aux postes publiés</t>
  </si>
  <si>
    <t>Disciplines juridiques, politiques, économiques et de gestion</t>
  </si>
  <si>
    <t>(1) : postes de professeurs exclusivement offerts à la mutation et au détachement dans les disciplines juridiques, politiques, économiques et de gestion</t>
  </si>
  <si>
    <t xml:space="preserve"> (les postes restés vacants sont offerts à l'agrégation)</t>
  </si>
  <si>
    <t>Article 51 : mutations et détachements (1)</t>
  </si>
  <si>
    <r>
      <t>Article 26-I-2 : concours réservés aux enseignants du 2</t>
    </r>
    <r>
      <rPr>
        <vertAlign val="superscript"/>
        <sz val="12"/>
        <rFont val="Times New Roman"/>
        <family val="1"/>
      </rPr>
      <t>nd</t>
    </r>
    <r>
      <rPr>
        <sz val="12"/>
        <rFont val="Times New Roman"/>
        <family val="1"/>
      </rPr>
      <t xml:space="preserve"> degré</t>
    </r>
  </si>
  <si>
    <t xml:space="preserve"> Article 49-2-1 : agrégation externe</t>
  </si>
  <si>
    <t>Refus directeur art. L 713-9</t>
  </si>
  <si>
    <t>Postes pourvus par mutation ou par détachement</t>
  </si>
  <si>
    <t>Article 26-I-1</t>
  </si>
  <si>
    <t>Article 51</t>
  </si>
  <si>
    <t>Opérations de recutement - Analyse par section et par article</t>
  </si>
  <si>
    <t xml:space="preserve">Architecture (ses théories et ses pratiques), arts appliqués, arts plastiques, arts du spectacle, épistémologie des enseignements artistiques, esthétique, musicologie, musique, sciences de l'art     </t>
  </si>
  <si>
    <t xml:space="preserve">Histoire et civilisations : histoire et archéologie des mondes anciens et des mondes médiévaux ; de l'art </t>
  </si>
  <si>
    <t xml:space="preserve">Histoire et civilisations : histoire des mondes modernes, histoire du monde contemporain ; de l'art ; de la musique </t>
  </si>
  <si>
    <t>Article 26-I-2</t>
  </si>
  <si>
    <t>Opérations de recrutement - Analyse par section et par article</t>
  </si>
  <si>
    <t>Analyse des postes non pourvus par section et par article</t>
  </si>
  <si>
    <t>Article  26-I-1</t>
  </si>
  <si>
    <t>(*) compte tenu de leurs faibles effectifs, les mutations dans les disciplines pharmaceutiques ont été intégrées aux "Sciences"</t>
  </si>
  <si>
    <t>Solde académique des mutations par grande discipline (*)</t>
  </si>
  <si>
    <t>SCIENCES **</t>
  </si>
  <si>
    <t>Solde mouvements PR + MCF</t>
  </si>
  <si>
    <t>(**) compte tenu de leurs faibles effectifs, les mutations dans les disciplines pharmaceutiques ont été intégrées aux "Sciences"</t>
  </si>
  <si>
    <t>Répartition par grande discipline, académie d'accueil et académie d'origine</t>
  </si>
  <si>
    <t>(*) le solde étant entendu comme la différence entre les entrées et les sorties. Un solde négatif se traduira notamment par autant de postes vacants (ou sans titulaire)</t>
  </si>
  <si>
    <t>à la fin de la présente session de la campagne de recrutement</t>
  </si>
  <si>
    <t>Tableau II - c</t>
  </si>
  <si>
    <t>Tableau IV - a</t>
  </si>
  <si>
    <t>Tableau IV - b</t>
  </si>
  <si>
    <t>Titre de la section                                                                                 Année de qualification</t>
  </si>
  <si>
    <t>Tableau IV - c</t>
  </si>
  <si>
    <t>Analyse des postes pourvus par année de qualification du candidat nommé</t>
  </si>
  <si>
    <t>Titre de la section                                                                               Année de qualification</t>
  </si>
  <si>
    <t>Tableau IV - d</t>
  </si>
  <si>
    <t>Tableau IV - f</t>
  </si>
  <si>
    <t>Qualifications</t>
  </si>
  <si>
    <t>Section du CNU</t>
  </si>
  <si>
    <t>Recrutement de professeurs des universités dans les disciplines juridiques, économiques et de gestion</t>
  </si>
  <si>
    <t>Concours d'agrégation externe (article 49-2-1) et concours d'agrégation interne (article 49-2-2)</t>
  </si>
  <si>
    <t>Total Droit et Sciences économiques et de gestion</t>
  </si>
  <si>
    <t>Analyse par section et qualification des postes offerts au recrutement, tous articles confondus (*)</t>
  </si>
  <si>
    <t>Professeurs des universités (**)</t>
  </si>
  <si>
    <t>TOTAL   PHARMACIE</t>
  </si>
  <si>
    <t xml:space="preserve">            Académie d'origine
Académie d'accueil</t>
  </si>
  <si>
    <t>Analyse par section des postes offerts au recrutement, tous articles confondus (*)</t>
  </si>
  <si>
    <t>Science économique</t>
  </si>
  <si>
    <t>PR</t>
  </si>
  <si>
    <t>MCF</t>
  </si>
  <si>
    <t>PR + MCF</t>
  </si>
  <si>
    <t>Académie</t>
  </si>
  <si>
    <t>Aix-Marseille</t>
  </si>
  <si>
    <t>Amiens</t>
  </si>
  <si>
    <t>Besançon</t>
  </si>
  <si>
    <t>Bordeaux</t>
  </si>
  <si>
    <t>Caen</t>
  </si>
  <si>
    <t>Clermont-Ferrand</t>
  </si>
  <si>
    <t>Corse</t>
  </si>
  <si>
    <t>Créteil</t>
  </si>
  <si>
    <t>Dijon</t>
  </si>
  <si>
    <t>Grenoble</t>
  </si>
  <si>
    <t>La Réunion</t>
  </si>
  <si>
    <t>Lille</t>
  </si>
  <si>
    <t>Limoges</t>
  </si>
  <si>
    <t>Lyon</t>
  </si>
  <si>
    <t>Montpellier</t>
  </si>
  <si>
    <t>Nancy-Metz</t>
  </si>
  <si>
    <t>Nantes</t>
  </si>
  <si>
    <t>Nice</t>
  </si>
  <si>
    <t>Orléans-Tours</t>
  </si>
  <si>
    <t>Paris</t>
  </si>
  <si>
    <t>Poitiers</t>
  </si>
  <si>
    <t>Reims</t>
  </si>
  <si>
    <t>Rennes</t>
  </si>
  <si>
    <t>Rouen</t>
  </si>
  <si>
    <t>Strasbourg</t>
  </si>
  <si>
    <t>Toulouse</t>
  </si>
  <si>
    <t>Versailles</t>
  </si>
  <si>
    <t xml:space="preserve">Tableau I - g </t>
  </si>
  <si>
    <t>Ratio Q/P</t>
  </si>
  <si>
    <t>Tableau III - d</t>
  </si>
  <si>
    <t>Tableau III - e</t>
  </si>
  <si>
    <t>Tableau III - f</t>
  </si>
  <si>
    <t>Tableau III - g</t>
  </si>
  <si>
    <t>Tableau III - h</t>
  </si>
  <si>
    <t>Tableau III - i</t>
  </si>
  <si>
    <t>Tableau V - a</t>
  </si>
  <si>
    <t>Tableau V - c</t>
  </si>
  <si>
    <t xml:space="preserve">%  postes pourvus </t>
  </si>
  <si>
    <t>% Postes pourvus</t>
  </si>
  <si>
    <t>Détachement</t>
  </si>
  <si>
    <t>Mutation</t>
  </si>
  <si>
    <t>Concours</t>
  </si>
  <si>
    <t>Nb postes</t>
  </si>
  <si>
    <t>Nb candidats</t>
  </si>
  <si>
    <t>Nb candidatures</t>
  </si>
  <si>
    <t>ensemble candidats</t>
  </si>
  <si>
    <t>ensemble candidatures</t>
  </si>
  <si>
    <t>ratio ensemble candidats / postes</t>
  </si>
  <si>
    <t>ratio ensemble candidatures / postes</t>
  </si>
  <si>
    <t xml:space="preserve">Remarques: </t>
  </si>
  <si>
    <t>Tableau III - b</t>
  </si>
  <si>
    <t>Anthropologie biologique, ethnologie, préhistoire</t>
  </si>
  <si>
    <t>Cette partie présente une synthèse des opérations de mutation et détachement</t>
  </si>
  <si>
    <t>ainsi qu'une perspective historique des "migrations" auxquelles elles donnent lieu.</t>
  </si>
  <si>
    <t>Les données relatives aux candidats et candidatures à ces opérations préalables</t>
  </si>
  <si>
    <t>DIRECTION GENERALE DES RESSOURCES HUMAINES</t>
  </si>
  <si>
    <t xml:space="preserve">Service des personnels enseignants de l'enseignement supérieur et de la recherche </t>
  </si>
  <si>
    <t>Sous-direction des études de gestion prévisionnelle, statutaires et des affaires communes</t>
  </si>
  <si>
    <t>- DGRH A1-1 -</t>
  </si>
  <si>
    <t>© www.enseignementsup-recherche.gouv.fr</t>
  </si>
  <si>
    <t>Postes pourvus par concours</t>
  </si>
  <si>
    <t>Opérations de mutation et de détachement - Analyse par section et par article</t>
  </si>
  <si>
    <t>Table des disciplines ou sections</t>
  </si>
  <si>
    <t>du Conseil national des universités</t>
  </si>
  <si>
    <t xml:space="preserve">Grande Discipline </t>
  </si>
  <si>
    <t>Groupe</t>
  </si>
  <si>
    <t>Libellé sous-groupe</t>
  </si>
  <si>
    <t>Titre de la section du CNU</t>
  </si>
  <si>
    <t>Droit et science politique</t>
  </si>
  <si>
    <t>Sciences économiques
 et de gestion</t>
  </si>
  <si>
    <t xml:space="preserve"> 3a</t>
  </si>
  <si>
    <t>Littératures</t>
  </si>
  <si>
    <t xml:space="preserve"> 3 b</t>
  </si>
  <si>
    <t>Langues</t>
  </si>
  <si>
    <t xml:space="preserve">Langues et littératures romanes : espagnol, italien, 
portugais, autres langues romanes </t>
  </si>
  <si>
    <t xml:space="preserve"> 4 a</t>
  </si>
  <si>
    <t>Sciences humaines</t>
  </si>
  <si>
    <t xml:space="preserve">Architecture (ses théories et ses pratiques), arts appliqués, arts plastiques, arts du spectacle,  épistémologie des enseignements artistiques, esthétique, musicologie, musique, sciences de l'art     </t>
  </si>
  <si>
    <t xml:space="preserve"> 4 b</t>
  </si>
  <si>
    <t>Histoire-géographie</t>
  </si>
  <si>
    <t>Histoire et civilisations : histoire et archéologie des mondes 
anciens et des mondes médiévaux; de l'art</t>
  </si>
  <si>
    <t>Histoire et civilisations : histoire des mondes modernes, 
histoire du monde  contemporain ; de l'art; de la musique</t>
  </si>
  <si>
    <t>STAPS</t>
  </si>
  <si>
    <t>Théologie catholique, théologie protestante</t>
  </si>
  <si>
    <t xml:space="preserve"> 5 a</t>
  </si>
  <si>
    <t xml:space="preserve"> 5 b</t>
  </si>
  <si>
    <t>Génie électrique, électronique, photonique et systèmes</t>
  </si>
  <si>
    <t>Cette partie précise la répartition des postes MCF et PR</t>
  </si>
  <si>
    <t>pour chaque type de concours et pour chaque section du CNU.</t>
  </si>
  <si>
    <t>qui resteront vacants au terme des opérations de recrutement.</t>
  </si>
  <si>
    <t>Les motifs de non pourvoi des postes sont fournis par les établissements, sur ANTARES-ANTEE</t>
  </si>
  <si>
    <t>Bilan détaillé des opérations de recrutement</t>
  </si>
  <si>
    <t>Cette partie détaille les opérations de recrutement des maîtres de conférences</t>
  </si>
  <si>
    <t>Cette partie détaille les opérations de recrutement des professeurs</t>
  </si>
  <si>
    <t>A la démographie des recrutés est adjointe, pour les anciens maîtres de conférences,</t>
  </si>
  <si>
    <t xml:space="preserve">Postes offerts au recrutement </t>
  </si>
  <si>
    <t>Article 26-I-1 : concours externes (1)</t>
  </si>
  <si>
    <t>PACIFIQUE</t>
  </si>
  <si>
    <t>Solde Lettres</t>
  </si>
  <si>
    <t>Solde Sciences</t>
  </si>
  <si>
    <t>Solde Pharmacie</t>
  </si>
  <si>
    <t>Solde mvt ex-MCF</t>
  </si>
  <si>
    <t>pm: rerutement de PR ex-MCF</t>
  </si>
  <si>
    <t>pm: recrutement PR hors enseignement supérieur</t>
  </si>
  <si>
    <t>SOLDES par académie</t>
  </si>
  <si>
    <t>Mobilité des anciens maîtres de conférences nommés professeur des universités</t>
  </si>
  <si>
    <t>2) Total candidatures jugées recevables par les établissements</t>
  </si>
  <si>
    <t>Bilan des opérations de recrutement</t>
  </si>
  <si>
    <t>Cette partie présente une synthèse des opérations de recrutement proprement dites</t>
  </si>
  <si>
    <t>avec d'une part les taux de couverture des postes à pourvoir, et d'autre part, le volume</t>
  </si>
  <si>
    <t>des candidatures présentées. Enfin, une mise en perspective des postes pourvus</t>
  </si>
  <si>
    <t>sont rassemblées dans le tableau II-d.</t>
  </si>
  <si>
    <t xml:space="preserve">Cette synthèse comprend notamment  une description académique de ces opérations </t>
  </si>
  <si>
    <t>Total général</t>
  </si>
  <si>
    <t>Etablissement</t>
  </si>
  <si>
    <t xml:space="preserve">Total </t>
  </si>
  <si>
    <t>Pub</t>
  </si>
  <si>
    <t>Pourv</t>
  </si>
  <si>
    <t>AVIGNON</t>
  </si>
  <si>
    <t xml:space="preserve">MARSEILLE E.C. </t>
  </si>
  <si>
    <t>COMPIEGNE</t>
  </si>
  <si>
    <t>Académie d'AMIENS</t>
  </si>
  <si>
    <t>ANTILLES-GUYANE</t>
  </si>
  <si>
    <t>Académie des ANTILLES</t>
  </si>
  <si>
    <t>BELFORT UTBM</t>
  </si>
  <si>
    <t>BESANCON ENS MECA</t>
  </si>
  <si>
    <t>Académie de BESANCON</t>
  </si>
  <si>
    <t>BORDEAUX 3</t>
  </si>
  <si>
    <t>PAU</t>
  </si>
  <si>
    <t>BORDEAUX IEP</t>
  </si>
  <si>
    <t>Académie de BORDEAUX</t>
  </si>
  <si>
    <t>Académie de CAEN</t>
  </si>
  <si>
    <t>CLERMONT 1</t>
  </si>
  <si>
    <t>CLERMONT 2</t>
  </si>
  <si>
    <t>CLERMONT ENSC</t>
  </si>
  <si>
    <t>CLERMONT IFMA</t>
  </si>
  <si>
    <t>Académie de CLERMONT</t>
  </si>
  <si>
    <t>CORTE</t>
  </si>
  <si>
    <t>Académie de CORSE</t>
  </si>
  <si>
    <t>PARIS 12</t>
  </si>
  <si>
    <t>PARIS 13</t>
  </si>
  <si>
    <t>MARNE LA VALLEE</t>
  </si>
  <si>
    <t>CACHAN ENS</t>
  </si>
  <si>
    <t>SUPMECA PARIS</t>
  </si>
  <si>
    <t>Académie de CRETEIL</t>
  </si>
  <si>
    <t>Académie de DIJON</t>
  </si>
  <si>
    <t>GRENOBLE 1</t>
  </si>
  <si>
    <t>GRENOBLE 2</t>
  </si>
  <si>
    <t>GRENOBLE 3</t>
  </si>
  <si>
    <t>CHAMBERY</t>
  </si>
  <si>
    <t>GRENOBLE IEP</t>
  </si>
  <si>
    <t>Académie de GRENOBLE</t>
  </si>
  <si>
    <t>Académie de LA REUNION</t>
  </si>
  <si>
    <t>LILLE 1</t>
  </si>
  <si>
    <t>LILLE 2</t>
  </si>
  <si>
    <t>LILLE 3</t>
  </si>
  <si>
    <t>ARTOIS</t>
  </si>
  <si>
    <t>LITTORAL</t>
  </si>
  <si>
    <t>VALENCIENNES</t>
  </si>
  <si>
    <t>LILLE E.C.</t>
  </si>
  <si>
    <t>LILLE IEP</t>
  </si>
  <si>
    <t>Académie de LILLE</t>
  </si>
  <si>
    <t>LIMOGES ENSCI</t>
  </si>
  <si>
    <t>Académie de LIMOGES</t>
  </si>
  <si>
    <t>LYON 1</t>
  </si>
  <si>
    <t>LYON 2</t>
  </si>
  <si>
    <t>LYON 3</t>
  </si>
  <si>
    <t>ST ETIENNE</t>
  </si>
  <si>
    <t>LYON IEP</t>
  </si>
  <si>
    <t>LYON ENS</t>
  </si>
  <si>
    <t>LYON E.C.</t>
  </si>
  <si>
    <t>LYON INSA</t>
  </si>
  <si>
    <t>ST ETIENNE ENI</t>
  </si>
  <si>
    <t>Académie de LYON</t>
  </si>
  <si>
    <t>MONTPELLIER 1</t>
  </si>
  <si>
    <t>MONTPELLIER 2</t>
  </si>
  <si>
    <t>MONTPELLIER 3</t>
  </si>
  <si>
    <t>PERPIGNAN</t>
  </si>
  <si>
    <t>MONTPELLIER ENSC</t>
  </si>
  <si>
    <t>Académie de MONTPELLIER</t>
  </si>
  <si>
    <t>METZ ENI</t>
  </si>
  <si>
    <t>Académie de NANCY-METZ</t>
  </si>
  <si>
    <t>LE MANS</t>
  </si>
  <si>
    <t>ANGERS</t>
  </si>
  <si>
    <t>Académie de NANTES</t>
  </si>
  <si>
    <t>TOULON</t>
  </si>
  <si>
    <t>Académie de NICE</t>
  </si>
  <si>
    <t>ORLEANS</t>
  </si>
  <si>
    <t>TOURS</t>
  </si>
  <si>
    <t>POLYNESIE</t>
  </si>
  <si>
    <t>NOUVELLE CALEDONIE</t>
  </si>
  <si>
    <t>PARIS 1</t>
  </si>
  <si>
    <t>PARIS INALCO</t>
  </si>
  <si>
    <t>PARIS ENSAM</t>
  </si>
  <si>
    <t>PARIS CNAM</t>
  </si>
  <si>
    <t>PARIS ENS</t>
  </si>
  <si>
    <t>PARIS IAE</t>
  </si>
  <si>
    <t>PARIS IEP</t>
  </si>
  <si>
    <t>Académie de PARIS</t>
  </si>
  <si>
    <t>LA ROCHELLE</t>
  </si>
  <si>
    <t>POITIERS ENSMA</t>
  </si>
  <si>
    <t>Académie de POITIERS</t>
  </si>
  <si>
    <t>UNIV. TECHNO TROYES</t>
  </si>
  <si>
    <t>Académie de REIMS</t>
  </si>
  <si>
    <t>RENNES 1</t>
  </si>
  <si>
    <t>RENNES 2</t>
  </si>
  <si>
    <t>BREST</t>
  </si>
  <si>
    <t>BRETAGNE SUD</t>
  </si>
  <si>
    <t>RENNES IEP</t>
  </si>
  <si>
    <t>RENNES INSA</t>
  </si>
  <si>
    <t>Académie de RENNES</t>
  </si>
  <si>
    <t>LE HAVRE</t>
  </si>
  <si>
    <t>ROUEN INSA</t>
  </si>
  <si>
    <t>Académie de ROUEN</t>
  </si>
  <si>
    <t>MULHOUSE</t>
  </si>
  <si>
    <t>STRASBOURG INSA</t>
  </si>
  <si>
    <t>Académie de STRASBOURG</t>
  </si>
  <si>
    <t>TOULOUSE 1</t>
  </si>
  <si>
    <t>TOULOUSE 2</t>
  </si>
  <si>
    <t>TOULOUSE 3</t>
  </si>
  <si>
    <t>TOULOUSE INP</t>
  </si>
  <si>
    <t>ALBI CUFR</t>
  </si>
  <si>
    <t>TOULOUSE INSA</t>
  </si>
  <si>
    <t>TARBES ENI</t>
  </si>
  <si>
    <t>Académie de TOULOUSE</t>
  </si>
  <si>
    <t>PARIS 10</t>
  </si>
  <si>
    <t>PARIS 11</t>
  </si>
  <si>
    <t>EVRY</t>
  </si>
  <si>
    <t>CERGY-PONTOISE</t>
  </si>
  <si>
    <t>VERSAILLES ST-QUENT.</t>
  </si>
  <si>
    <t>PARIS E.C.</t>
  </si>
  <si>
    <t>EVRY ENSIIE</t>
  </si>
  <si>
    <t>Académie de VERSAILLES</t>
  </si>
  <si>
    <t>Académie ORLEANS-TOURS</t>
  </si>
  <si>
    <t>NANTES E.C.</t>
  </si>
  <si>
    <t>NIMES</t>
  </si>
  <si>
    <t>Académie d'AIX-MARSEILLE</t>
  </si>
  <si>
    <t>PARIS 2</t>
  </si>
  <si>
    <t>PARIS 3</t>
  </si>
  <si>
    <t>PARIS 4</t>
  </si>
  <si>
    <t>PARIS 5</t>
  </si>
  <si>
    <t>PARIS 6</t>
  </si>
  <si>
    <t>PARIS 7</t>
  </si>
  <si>
    <t>PARIS 8</t>
  </si>
  <si>
    <t>Article 49-2-2 : agrégation interne</t>
  </si>
  <si>
    <t>plusieurs années de suite ou obtenir une qualification dans des sections différentes.</t>
  </si>
  <si>
    <t xml:space="preserve">Note : l'attention du lecteur est attirée sur le fait que ce tableau décrit les qualifications et non les qualifiés, une même personne pouvant se "re-qualifier" </t>
  </si>
  <si>
    <t>Electronique, optronique et systèmes</t>
  </si>
  <si>
    <t>85</t>
  </si>
  <si>
    <t xml:space="preserve">Sciences physico-chimiques et ingéniérie appliquées à la santé </t>
  </si>
  <si>
    <t>86</t>
  </si>
  <si>
    <t>Sciences du médicament et des autres produits de santé</t>
  </si>
  <si>
    <t>87</t>
  </si>
  <si>
    <t>Sciences biologiques, fondamentales et clinique</t>
  </si>
  <si>
    <t>CLERMONT</t>
  </si>
  <si>
    <t>Absence de lauréat</t>
  </si>
  <si>
    <t>Avis défavorable du président ou du directeur</t>
  </si>
  <si>
    <t>Absence de lauréat proposé par le CA</t>
  </si>
  <si>
    <t>Interruption de procédure</t>
  </si>
  <si>
    <t>Vœux préférentiels sur d'autres postes de ce recrutement</t>
  </si>
  <si>
    <t xml:space="preserve">Article 51 : recrutement des disciplines juridiques et économiques </t>
  </si>
  <si>
    <t xml:space="preserve"> </t>
  </si>
  <si>
    <t>Article  51</t>
  </si>
  <si>
    <t xml:space="preserve">Postes publiés vacants </t>
  </si>
  <si>
    <t>Disciplines juridiques, politique, économiques et de gestion</t>
  </si>
  <si>
    <t>Tableau S - 1</t>
  </si>
  <si>
    <t>Tableau S - 2</t>
  </si>
  <si>
    <t>Tableau S - 3</t>
  </si>
  <si>
    <t>Tableau S - 4</t>
  </si>
  <si>
    <t xml:space="preserve"> - article 49-2-2 : agrégation interne</t>
  </si>
  <si>
    <t>Bilan des opérations de mutation et de détachement</t>
  </si>
  <si>
    <t>Antilles-Guyane</t>
  </si>
  <si>
    <t>Bilan des opérations de recrutement par concours</t>
  </si>
  <si>
    <t>Analyse des postes non pourvus</t>
  </si>
  <si>
    <t>qui, à présent, se déroulent avec les opérations de recrutement proprement dites.</t>
  </si>
  <si>
    <t xml:space="preserve">des professeurs des universités et des maîtres de conférences </t>
  </si>
  <si>
    <t>des professeurs des universités</t>
  </si>
  <si>
    <t>des professeurs des universités et des maîtres de conférences</t>
  </si>
  <si>
    <t>des maîtres de conférences</t>
  </si>
  <si>
    <t>non pourvus au terme des opérations de recrutement</t>
  </si>
  <si>
    <t>Bilan des postes de maître de conférences et de professeur des universités</t>
  </si>
  <si>
    <t>PR art 51</t>
  </si>
  <si>
    <t>Candidats nommés 
au détachement</t>
  </si>
  <si>
    <t>Candidats nommés 
à la mutation</t>
  </si>
  <si>
    <t>Candidatures</t>
  </si>
  <si>
    <t>Section de recrutement</t>
  </si>
  <si>
    <t>des maîtres de conférences et des professeurs des universités</t>
  </si>
  <si>
    <t>Tableau S - 5</t>
  </si>
  <si>
    <t>Tableau S - 5a</t>
  </si>
  <si>
    <t>Tableau S - 5b</t>
  </si>
  <si>
    <t>Nb établissements</t>
  </si>
  <si>
    <t>Total candidatures</t>
  </si>
  <si>
    <t>AIX IEP</t>
  </si>
  <si>
    <t>BORDEAUX IP</t>
  </si>
  <si>
    <t>LILLE ENSC</t>
  </si>
  <si>
    <t>BREST ENSC</t>
  </si>
  <si>
    <t>TOULOUSE IEP</t>
  </si>
  <si>
    <t>CERGY ENSEA</t>
  </si>
  <si>
    <t>P</t>
  </si>
  <si>
    <t>Recrutements FIDIS 
en cours (Nominations probables après le 01/09/2010)</t>
  </si>
  <si>
    <t>Session "synchronisée" (ANTEE)</t>
  </si>
  <si>
    <t>(*) Pour obtenir la totalité des  emplois publiés, il convient d'ajouter à ce nombre les emplois mentionnés dans le tableau II :</t>
  </si>
  <si>
    <t xml:space="preserve"> 12 a</t>
  </si>
  <si>
    <t xml:space="preserve"> 12 b</t>
  </si>
  <si>
    <t>Campagne de recrutement et d'affectation</t>
  </si>
  <si>
    <t>xx(1)</t>
  </si>
  <si>
    <t>(1) Enseignants dispensés de l'inscription sur la liste de qualification ( fonctions équivalentes à l'étranger)</t>
  </si>
  <si>
    <t>trieta</t>
  </si>
  <si>
    <t>F</t>
  </si>
  <si>
    <t>76</t>
  </si>
  <si>
    <t>GRENOBLE IP</t>
  </si>
  <si>
    <t>(1) Enseignants dispensés de l'inscription sur la liste de qualification (fonctions équivalentes à l'étranger)</t>
  </si>
  <si>
    <t>Note de lecture: les postes dits "offerts au recrutement" ne comprennent pas ceux pourvus par mutation ou par détachement</t>
  </si>
  <si>
    <t>Autres sections</t>
  </si>
  <si>
    <t xml:space="preserve">% par
rapport aux postes publiés 
</t>
  </si>
  <si>
    <t>1040-AVIGNON</t>
  </si>
  <si>
    <t>1050-AIX IEP</t>
  </si>
  <si>
    <t>1060-AIX-MARSEILLE E.C.</t>
  </si>
  <si>
    <t>1110-AMIENS</t>
  </si>
  <si>
    <t>1120-COMPIEGNE UTC</t>
  </si>
  <si>
    <t>1210-ANTILLES-GUYANE</t>
  </si>
  <si>
    <t>1310-BESANCON</t>
  </si>
  <si>
    <t>1320-BELFORT UTBM</t>
  </si>
  <si>
    <t>1330-BESANCON ENS MECA</t>
  </si>
  <si>
    <t>1410-BORDEAUX 1</t>
  </si>
  <si>
    <t>1430-BORDEAUX 3</t>
  </si>
  <si>
    <t>1470-BORDEAUX IP</t>
  </si>
  <si>
    <t>1510-CAEN</t>
  </si>
  <si>
    <t>1610-CLERMONT 1</t>
  </si>
  <si>
    <t>1620-CLERMONT 2</t>
  </si>
  <si>
    <t>1640-CLERMONT IFMA</t>
  </si>
  <si>
    <t>1710-CORTE</t>
  </si>
  <si>
    <t>1810-PARIS  8</t>
  </si>
  <si>
    <t>1820-PARIS 12</t>
  </si>
  <si>
    <t>1830-PARIS 13</t>
  </si>
  <si>
    <t>1840-MARNE-LA-VALLEE</t>
  </si>
  <si>
    <t>1850-CACHAN ENS</t>
  </si>
  <si>
    <t>1870-PARIS ISM</t>
  </si>
  <si>
    <t>1910-DIJON</t>
  </si>
  <si>
    <t>2010-GRENOBLE 1</t>
  </si>
  <si>
    <t>2020-GRENOBLE 2</t>
  </si>
  <si>
    <t>2030-GRENOBLE 3</t>
  </si>
  <si>
    <t>2040-GRENOBLE IP</t>
  </si>
  <si>
    <t>2050-CHAMBERY</t>
  </si>
  <si>
    <t>2060-GRENOBLE IEP</t>
  </si>
  <si>
    <t>2110-LA REUNION</t>
  </si>
  <si>
    <t>22A0-LILLE 1</t>
  </si>
  <si>
    <t>22B0-LILLE 2</t>
  </si>
  <si>
    <t>22C0-LILLE 3</t>
  </si>
  <si>
    <t>22D0-ARTOIS</t>
  </si>
  <si>
    <t>22E0-LITTORAL</t>
  </si>
  <si>
    <t>22F0-VALENCIENNES</t>
  </si>
  <si>
    <t>22G0-LILLE ECOLE CENTRALE</t>
  </si>
  <si>
    <t>22I0-LILLE IEP</t>
  </si>
  <si>
    <t>22J0-LILLE ENS CHIMIE</t>
  </si>
  <si>
    <t>2310-LIMOGES</t>
  </si>
  <si>
    <t>2320-LIMOGES ENSCI</t>
  </si>
  <si>
    <t>24A0-LYON 1</t>
  </si>
  <si>
    <t>24B0-LYON 2</t>
  </si>
  <si>
    <t>24C0-LYON 3</t>
  </si>
  <si>
    <t>24D0-ST ETIENNE</t>
  </si>
  <si>
    <t>24E0-LYON IEP</t>
  </si>
  <si>
    <t>24G0-LYON ENS</t>
  </si>
  <si>
    <t>24J0-LYON ECOLE CENTRALE</t>
  </si>
  <si>
    <t>24L1-LYON INSA</t>
  </si>
  <si>
    <t>24N0-ST ETIENNE ENI</t>
  </si>
  <si>
    <t>2510-MONTPELLIER 1</t>
  </si>
  <si>
    <t>2520-MONTPELLIER 2</t>
  </si>
  <si>
    <t>2530-MONTPELLIER 3</t>
  </si>
  <si>
    <t>2540-NIMES</t>
  </si>
  <si>
    <t>2550-PERPIGNAN</t>
  </si>
  <si>
    <t>2600-NANCY UNIVERSITE</t>
  </si>
  <si>
    <t>2710-NANTES</t>
  </si>
  <si>
    <t>2720-LE MANS</t>
  </si>
  <si>
    <t>2730-ANGERS</t>
  </si>
  <si>
    <t>2740-NANTES EC. CENTRALE</t>
  </si>
  <si>
    <t>2810-NICE</t>
  </si>
  <si>
    <t>2820-TOULON</t>
  </si>
  <si>
    <t>2910-ORLEANS</t>
  </si>
  <si>
    <t>2920-TOURS</t>
  </si>
  <si>
    <t>3020-NOUVELLE CALEDONIE</t>
  </si>
  <si>
    <t>3110-PARIS  1</t>
  </si>
  <si>
    <t>3120-PARIS  2</t>
  </si>
  <si>
    <t>3130-PARIS  3</t>
  </si>
  <si>
    <t>3140-PARIS  4</t>
  </si>
  <si>
    <t>3150-PARIS  5</t>
  </si>
  <si>
    <t>3160-PARIS  6</t>
  </si>
  <si>
    <t>3170-PARIS  7</t>
  </si>
  <si>
    <t>3190-PARIS  DAUPHINE</t>
  </si>
  <si>
    <t>31A0-PARIS INALCO</t>
  </si>
  <si>
    <t>31B0-PARIS ENSAM</t>
  </si>
  <si>
    <t>31G0-PARIS CNAM</t>
  </si>
  <si>
    <t>31K0-PARIS ENS</t>
  </si>
  <si>
    <t>31O0-PARIS IAE</t>
  </si>
  <si>
    <t>3212-POITIERS</t>
  </si>
  <si>
    <t>3220-LA ROCHELLE</t>
  </si>
  <si>
    <t>3230-POITIERS ENSMA</t>
  </si>
  <si>
    <t>3310-REIMS</t>
  </si>
  <si>
    <t>3320-TROYES UTT</t>
  </si>
  <si>
    <t>34A0-RENNES 1</t>
  </si>
  <si>
    <t>34B0-RENNES 2</t>
  </si>
  <si>
    <t>34C0-BREST</t>
  </si>
  <si>
    <t>34D0-BRETAGNE SUD</t>
  </si>
  <si>
    <t>34F0-RENNES INSA</t>
  </si>
  <si>
    <t>34G0-RENNES ENS CHIMIE</t>
  </si>
  <si>
    <t>34H0-BREST ENI</t>
  </si>
  <si>
    <t>3510-ROUEN</t>
  </si>
  <si>
    <t>3520-LE HAVRE</t>
  </si>
  <si>
    <t>3530-ROUEN INSA</t>
  </si>
  <si>
    <t>3610-STRASBOURG</t>
  </si>
  <si>
    <t>3640-MULHOUSE</t>
  </si>
  <si>
    <t>3660-STRASBOURG INSA</t>
  </si>
  <si>
    <t>3710-TOULOUSE 1</t>
  </si>
  <si>
    <t>3720-TOULOUSE 2</t>
  </si>
  <si>
    <t>3730-TOULOUSE 3</t>
  </si>
  <si>
    <t>3740-TOULOUSE INP</t>
  </si>
  <si>
    <t>3750-ALBI CUFR</t>
  </si>
  <si>
    <t>3760-TOULOUSE IEP</t>
  </si>
  <si>
    <t>3770-TOULOUSE INSA</t>
  </si>
  <si>
    <t>3780-TARBES ENI</t>
  </si>
  <si>
    <t>38A0-PARIS 10</t>
  </si>
  <si>
    <t>38B0-PARIS 11</t>
  </si>
  <si>
    <t>38C0-EVRY</t>
  </si>
  <si>
    <t>38D0-CERGY-PONTOISE</t>
  </si>
  <si>
    <t>38E0-VERSAILLES ST-QUENT.</t>
  </si>
  <si>
    <t>38F0-CERGY ENSEA</t>
  </si>
  <si>
    <t>38G0-PARIS ECOLE CENTRALE</t>
  </si>
  <si>
    <t>PARIS  DAUPHINE</t>
  </si>
  <si>
    <t xml:space="preserve">1) Total candidatures enregistrées sur l'application GALAXIE (ANTEE-session synchronisée) </t>
  </si>
  <si>
    <t>76-77</t>
  </si>
  <si>
    <t>pr fait</t>
  </si>
  <si>
    <t>sect</t>
  </si>
  <si>
    <t>BLOIS ENSP</t>
  </si>
  <si>
    <t>H</t>
  </si>
  <si>
    <t>Attractivité dans le recrutement de maître de conférences  par section et sexe</t>
  </si>
  <si>
    <t>Tous articles confondus faisant apparaître les candidatures, les candidats et les recrutés</t>
  </si>
  <si>
    <t xml:space="preserve">Total  </t>
  </si>
  <si>
    <t>Attractivité dans le recrutement de professeur des universités  par section et sexe</t>
  </si>
  <si>
    <t>SCIENCES (*)</t>
  </si>
  <si>
    <t>MCF FAIT</t>
  </si>
  <si>
    <t>% Qualifications</t>
  </si>
  <si>
    <t>%
 Femmes</t>
  </si>
  <si>
    <t>AIX MARSEILLE UNIV</t>
  </si>
  <si>
    <t>Postes offerts 
au recrutement</t>
  </si>
  <si>
    <t>Bilan de la campagne 2014 de recrutement et d'affectation des maîtres de conférences (session synchronisée - ANTEE)</t>
  </si>
  <si>
    <t>Bilan de la campagne 2014 de recrutement et d'affectation des professeurs des universités (session synchronisée - ANTEE)</t>
  </si>
  <si>
    <t>Bilan de la campagne 2014 de recrutement et d'affectation des maîtres de conférences et des professeurs des universités (session synchronisée - ANTEE)</t>
  </si>
  <si>
    <t>Campagne 2014  - Session "synchronisée" (ANTEE)</t>
  </si>
  <si>
    <t>(1) Les postes non pourvus par mutation ou détachement en 2014 peuvent être offerts ultérieurement aux concours de l'agrégation du supérieur.</t>
  </si>
  <si>
    <t xml:space="preserve">BORDEAUX </t>
  </si>
  <si>
    <t>BOURGES INSA</t>
  </si>
  <si>
    <t>BREST ENS</t>
  </si>
  <si>
    <t>DIJON AGROSUP</t>
  </si>
  <si>
    <t>LORRAINE UNIVERSITE</t>
  </si>
  <si>
    <t>PARIS IPG</t>
  </si>
  <si>
    <t>PARIS OBSERVATOIRE</t>
  </si>
  <si>
    <t>PARIS COLLEGE DE France</t>
  </si>
  <si>
    <t>Etablissement ayant publié tous leurs postes ou une grande partie de leurs postes au "fil de l'eau" (17)</t>
  </si>
  <si>
    <t>Qualifiés 2014</t>
  </si>
  <si>
    <t>Nombre de typeposte</t>
  </si>
  <si>
    <t>pourvus</t>
  </si>
  <si>
    <t xml:space="preserve">Sciences de gestion </t>
  </si>
  <si>
    <t>XX</t>
  </si>
  <si>
    <t>Dont qualifiés en 2014</t>
  </si>
  <si>
    <t>Article 26-I-3</t>
  </si>
  <si>
    <t>Analyse des postes pourvus par les candidats qualifiés et nommés en 2014</t>
  </si>
  <si>
    <t>Campagne de qualification - Année 2014</t>
  </si>
  <si>
    <t>Source: GALAXIE (ANTARES-ANTEE), DGRH A1-1 &amp; DGRH A2, juin 2014</t>
  </si>
  <si>
    <t xml:space="preserve">Bilan de la campagne 2014 de recrutement et d'affectation des maîtres de conférences et des professeurs des universités </t>
  </si>
  <si>
    <t xml:space="preserve">Bilan de la campagne 2014 de recrutement et d'affectation </t>
  </si>
  <si>
    <r>
      <t>Enfin,</t>
    </r>
    <r>
      <rPr>
        <b/>
        <sz val="9"/>
        <rFont val="Times New Roman"/>
        <family val="1"/>
      </rPr>
      <t xml:space="preserve"> </t>
    </r>
    <r>
      <rPr>
        <b/>
        <sz val="9"/>
        <color indexed="10"/>
        <rFont val="Times New Roman"/>
        <family val="1"/>
      </rPr>
      <t xml:space="preserve">48 </t>
    </r>
    <r>
      <rPr>
        <sz val="9"/>
        <rFont val="Times New Roman"/>
        <family val="1"/>
      </rPr>
      <t>candidats ont déposé simultanément des candidatures aux concours PR et MCF</t>
    </r>
  </si>
  <si>
    <t>85 (*)</t>
  </si>
  <si>
    <t>2) Cas des candidats ayant déposé entre 45 et 85 candidatures (Maîtres de conférences)</t>
  </si>
  <si>
    <t>Sciences économiques  (**)</t>
  </si>
  <si>
    <t>Sciences de gestion (**)</t>
  </si>
  <si>
    <t>Histoire et civilisations : histoire et archéologie des mondes anciens et des mondes médiévaux ; de l'art  (**)</t>
  </si>
  <si>
    <t>Energétique, génie des procédés (*)</t>
  </si>
  <si>
    <t xml:space="preserve">Tous articles confondus faisant apparaître les candidatures, les candidats et les recrutés </t>
  </si>
  <si>
    <t>(*) détaché  de sexe masculin (1)</t>
  </si>
  <si>
    <t>(**) détaché  de sexe feminin (3)</t>
  </si>
  <si>
    <t>recrutés 
concours+détachement</t>
  </si>
  <si>
    <t>CANDIDATURES</t>
  </si>
  <si>
    <t>CANDIDATS</t>
  </si>
  <si>
    <t>MUTATIONS</t>
  </si>
  <si>
    <t>Attractivité dans le recrutement de professeur des universités par établissement,académie et sexe</t>
  </si>
  <si>
    <t>RECRUTES</t>
  </si>
  <si>
    <t>AIX-MARSEILLE E.C.</t>
  </si>
  <si>
    <t>Total académie d'Aix-Marseille</t>
  </si>
  <si>
    <t>COMPIEGNE UTC</t>
  </si>
  <si>
    <t>Total académie d'Amiens</t>
  </si>
  <si>
    <t>Total académie de Besançon</t>
  </si>
  <si>
    <t>Total académie de Bordeaux</t>
  </si>
  <si>
    <t>Total académie de Caen</t>
  </si>
  <si>
    <t>Total académie de Clermont-Ferrand</t>
  </si>
  <si>
    <t>Total académie de Corse</t>
  </si>
  <si>
    <t>PARIS  8</t>
  </si>
  <si>
    <t>MARNE-LA-VALLEE</t>
  </si>
  <si>
    <t>PARIS ISM</t>
  </si>
  <si>
    <t>Total académie de Créteil</t>
  </si>
  <si>
    <t>Total académie de Dijon</t>
  </si>
  <si>
    <t>Total académie de Grenoble</t>
  </si>
  <si>
    <t>Total académie de La Réunion</t>
  </si>
  <si>
    <t>LILLE ECOLE CENTRALE</t>
  </si>
  <si>
    <t>LILLE ENS CHIMIE</t>
  </si>
  <si>
    <t>Total académie de Lille</t>
  </si>
  <si>
    <t>Total académie de Limoges</t>
  </si>
  <si>
    <t>LYON ECOLE CENTRALE</t>
  </si>
  <si>
    <t>Total académie de Lyon</t>
  </si>
  <si>
    <t>Total académie de Montpellier</t>
  </si>
  <si>
    <t>LORRAINE</t>
  </si>
  <si>
    <t>Total académie de Nancy-Metz</t>
  </si>
  <si>
    <t>Total académie de Nantes</t>
  </si>
  <si>
    <t>Total académie de Nice</t>
  </si>
  <si>
    <t>Total académie d'Orléans-Tours</t>
  </si>
  <si>
    <t>Total  hors académie (Pacifique)</t>
  </si>
  <si>
    <t>PARIS  1</t>
  </si>
  <si>
    <t>PARIS  2</t>
  </si>
  <si>
    <t>PARIS  3</t>
  </si>
  <si>
    <t>PARIS  4</t>
  </si>
  <si>
    <t>PARIS  5</t>
  </si>
  <si>
    <t>PARIS  6</t>
  </si>
  <si>
    <t>PARIS  7</t>
  </si>
  <si>
    <t>Total  académie de Paris</t>
  </si>
  <si>
    <t>Total  académie de Poitiers</t>
  </si>
  <si>
    <t>Total  académie de Reims</t>
  </si>
  <si>
    <t>RENNES ENS</t>
  </si>
  <si>
    <t>Total  académie de Rennes</t>
  </si>
  <si>
    <t>Total  académie de Rouen</t>
  </si>
  <si>
    <t>Total  académie de Strasbourg</t>
  </si>
  <si>
    <t>Total  académie de Toulouse</t>
  </si>
  <si>
    <t>PARIS ECOLE CENTRALE</t>
  </si>
  <si>
    <t>Total  académie de Versailles</t>
  </si>
  <si>
    <t>Attractivité dans le recrutement des maîtres de conférences des universités par établissement,académie et sexe</t>
  </si>
  <si>
    <t>Tous articles confondus faisant apparaître les candidatures, les candidats et les recrutés.</t>
  </si>
  <si>
    <t>ETABLISSEMENT</t>
  </si>
  <si>
    <t>Total académie de Guadeloupe</t>
  </si>
  <si>
    <t>CLERMONT ENS CHIMIE</t>
  </si>
  <si>
    <t xml:space="preserve"> CLERMONT IFMA</t>
  </si>
  <si>
    <t>F182-PARIS 12</t>
  </si>
  <si>
    <t>F183-PARIS 13</t>
  </si>
  <si>
    <t>F184-MARNE-LA-VALLEE</t>
  </si>
  <si>
    <t>F185-CACHAN ENS</t>
  </si>
  <si>
    <t>F191-DIJON</t>
  </si>
  <si>
    <t>F201-GRENOBLE 1</t>
  </si>
  <si>
    <t>F202-GRENOBLE 2</t>
  </si>
  <si>
    <t>F203-GRENOBLE 3</t>
  </si>
  <si>
    <t>F204-GRENOBLE IP</t>
  </si>
  <si>
    <t>F205-CHAMBERY</t>
  </si>
  <si>
    <t>F206-GRENOBLE IEP</t>
  </si>
  <si>
    <t>F211-LA REUNION</t>
  </si>
  <si>
    <t>F22A-LILLE 1</t>
  </si>
  <si>
    <t>F22B-LILLE 2</t>
  </si>
  <si>
    <t>F22C-LILLE 3</t>
  </si>
  <si>
    <t>F22D-ARTOIS</t>
  </si>
  <si>
    <t>F22E-LITTORAL</t>
  </si>
  <si>
    <t>F22F-VALENCIENNES</t>
  </si>
  <si>
    <t>F22G-LILLE ECOLE CENTRALE</t>
  </si>
  <si>
    <t>F22I-LILLE IEP</t>
  </si>
  <si>
    <t>F231-LIMOGES</t>
  </si>
  <si>
    <t>F232-LIMOGES ENSCI</t>
  </si>
  <si>
    <t>F24B-LYON 2</t>
  </si>
  <si>
    <t>F24C-LYON 3</t>
  </si>
  <si>
    <t>F24D-ST ETIENNE</t>
  </si>
  <si>
    <t>F24E-LYON IEP</t>
  </si>
  <si>
    <t>F24G-LYON ENS</t>
  </si>
  <si>
    <t>F24J-LYON ECOLE CENTRALE</t>
  </si>
  <si>
    <t>F24L-LYON INSA</t>
  </si>
  <si>
    <t>F24N-ST ETIENNE ENI</t>
  </si>
  <si>
    <t>F251-MONTPELLIER 1</t>
  </si>
  <si>
    <t>F252-MONTPELLIER 2</t>
  </si>
  <si>
    <t>F253-MONTPELLIER 3</t>
  </si>
  <si>
    <t>F254-NIMES</t>
  </si>
  <si>
    <t>F255-PERPIGNAN</t>
  </si>
  <si>
    <t>F261-LORRAINE</t>
  </si>
  <si>
    <t>F271-NANTES</t>
  </si>
  <si>
    <t>F272-LE MANS</t>
  </si>
  <si>
    <t>F273-ANGERS</t>
  </si>
  <si>
    <t>NANTES EC. CENTRALE</t>
  </si>
  <si>
    <t>F274-NANTES EC. CENTRALE</t>
  </si>
  <si>
    <t>F281-NICE</t>
  </si>
  <si>
    <t>F282-TOULON</t>
  </si>
  <si>
    <t>F291-ORLEANS</t>
  </si>
  <si>
    <t>F292-TOURS</t>
  </si>
  <si>
    <t>F293-BOURGES INSA</t>
  </si>
  <si>
    <t>F301-POLYNESIE</t>
  </si>
  <si>
    <t>F311-PARIS  1</t>
  </si>
  <si>
    <t>F312-PARIS  2</t>
  </si>
  <si>
    <t>F313-PARIS  3</t>
  </si>
  <si>
    <t>F314-PARIS  4</t>
  </si>
  <si>
    <t>F315-PARIS  5</t>
  </si>
  <si>
    <t>F316-PARIS  6</t>
  </si>
  <si>
    <t>F317-PARIS  7</t>
  </si>
  <si>
    <t>F319-PARIS  DAUPHINE</t>
  </si>
  <si>
    <t>F31B-PARIS ENSAM</t>
  </si>
  <si>
    <t>F31G-PARIS CNAM</t>
  </si>
  <si>
    <t>F31K-PARIS ENS</t>
  </si>
  <si>
    <t>F321-POITIERS</t>
  </si>
  <si>
    <t>F322-LA ROCHELLE</t>
  </si>
  <si>
    <t>F323-POITIERS ENSMA</t>
  </si>
  <si>
    <t>F331-REIMS</t>
  </si>
  <si>
    <t>TROYES UT</t>
  </si>
  <si>
    <t>F332-TROYES UTT</t>
  </si>
  <si>
    <t>F34A-RENNES 1</t>
  </si>
  <si>
    <t>F34B-RENNES 2</t>
  </si>
  <si>
    <t>F34C-BREST</t>
  </si>
  <si>
    <t>F34D-BRETAGNE SUD</t>
  </si>
  <si>
    <t>F34E-RENNES IEP</t>
  </si>
  <si>
    <t>F34F-RENNES INSA</t>
  </si>
  <si>
    <t>RENNES ENS CHIMIE</t>
  </si>
  <si>
    <t>F34G-RENNES ENS CHIMIE</t>
  </si>
  <si>
    <t>F351-ROUEN</t>
  </si>
  <si>
    <t>F352-LE HAVRE</t>
  </si>
  <si>
    <t>F353-ROUEN INSA</t>
  </si>
  <si>
    <t>F361-STRASBOURG</t>
  </si>
  <si>
    <t>F364-MULHOUSE</t>
  </si>
  <si>
    <t>F366-STRASBOURG INSA</t>
  </si>
  <si>
    <t>F372-TOULOUSE 2</t>
  </si>
  <si>
    <t>F373-TOULOUSE 3</t>
  </si>
  <si>
    <t>F374-TOULOUSE INP</t>
  </si>
  <si>
    <t>F375-ALBI CUFR</t>
  </si>
  <si>
    <t>F376-TOULOUSE IEP</t>
  </si>
  <si>
    <t>F377-TOULOUSE INSA</t>
  </si>
  <si>
    <t>F378-TARBES ENI</t>
  </si>
  <si>
    <t>F38A-PARIS 10</t>
  </si>
  <si>
    <t>F38B-PARIS 11</t>
  </si>
  <si>
    <t>F38C-EVRY</t>
  </si>
  <si>
    <t>F38D-CERGY-PONTOISE</t>
  </si>
  <si>
    <t>F38E-VERSAILLES ST-QUENT.</t>
  </si>
  <si>
    <t>F38G-PARIS ECOLE CENTRALE</t>
  </si>
  <si>
    <t>T</t>
  </si>
  <si>
    <t>F-10</t>
  </si>
  <si>
    <t>F-11</t>
  </si>
  <si>
    <t>F-13</t>
  </si>
  <si>
    <t>F-14</t>
  </si>
  <si>
    <t>F-15</t>
  </si>
  <si>
    <t>F-16</t>
  </si>
  <si>
    <t>F-17</t>
  </si>
  <si>
    <t>F-18</t>
  </si>
  <si>
    <t>F-19</t>
  </si>
  <si>
    <t>F-20</t>
  </si>
  <si>
    <t>F-21</t>
  </si>
  <si>
    <t>F-22</t>
  </si>
  <si>
    <t>F-23</t>
  </si>
  <si>
    <t>F-24</t>
  </si>
  <si>
    <t>F-25</t>
  </si>
  <si>
    <t>F-26</t>
  </si>
  <si>
    <t>F-27</t>
  </si>
  <si>
    <t>F-28</t>
  </si>
  <si>
    <t>F-29</t>
  </si>
  <si>
    <t>F-30</t>
  </si>
  <si>
    <t>F-31</t>
  </si>
  <si>
    <t>F-32</t>
  </si>
  <si>
    <t>F-33</t>
  </si>
  <si>
    <t>F-34</t>
  </si>
  <si>
    <t>F-35</t>
  </si>
  <si>
    <t>F-36</t>
  </si>
  <si>
    <t>F-37</t>
  </si>
  <si>
    <t>F-38</t>
  </si>
  <si>
    <t xml:space="preserve"> - article 49-2-1 : agrégation externe</t>
  </si>
  <si>
    <r>
      <t>Géographie physique, humaine, économique et régionale</t>
    </r>
    <r>
      <rPr>
        <sz val="9"/>
        <color rgb="FFFF0000"/>
        <rFont val="Times New Roman"/>
        <family val="1"/>
      </rPr>
      <t xml:space="preserve"> (*)</t>
    </r>
  </si>
  <si>
    <r>
      <t>Mécanique, génie mécanique, génie civil</t>
    </r>
    <r>
      <rPr>
        <sz val="9"/>
        <color rgb="FFFF0000"/>
        <rFont val="Times New Roman"/>
        <family val="1"/>
      </rPr>
      <t xml:space="preserve"> (*)</t>
    </r>
  </si>
  <si>
    <r>
      <t xml:space="preserve">Architecture (ses théories et ses pratiques), arts appliqués, arts plastiques, arts du spectacle, épistémologie des enseignements artistiques, esthétique, musicologie, musique, sciences de l'art </t>
    </r>
    <r>
      <rPr>
        <sz val="9"/>
        <color rgb="FFFF0000"/>
        <rFont val="Times New Roman"/>
        <family val="1"/>
      </rPr>
      <t>(*)</t>
    </r>
  </si>
  <si>
    <t xml:space="preserve">(1) soit  1279 postes publiés - 122 postes pourvus par mutation ou détachement (cf. tableau "Synthèse de la session synchronisée") </t>
  </si>
  <si>
    <t xml:space="preserve">(2) soit  600 postes publiés - 51 postes pourvus par mutation ou détachement (cf. tableau "Synthèse de la session synchronisée"") </t>
  </si>
  <si>
    <r>
      <t xml:space="preserve">Synthèse des sessions dites "synchronisée" et "fil de l'eau" </t>
    </r>
    <r>
      <rPr>
        <sz val="14"/>
        <rFont val="Times New Roman"/>
        <family val="1"/>
      </rPr>
      <t>(ANTEE et FIDIS) à la date du 31 décembre 2014</t>
    </r>
    <r>
      <rPr>
        <b/>
        <sz val="14"/>
        <rFont val="Times New Roman"/>
        <family val="1"/>
      </rPr>
      <t xml:space="preserve">
</t>
    </r>
  </si>
  <si>
    <r>
      <t xml:space="preserve">Session "fil de l'eau" </t>
    </r>
    <r>
      <rPr>
        <sz val="14"/>
        <rFont val="Times New Roman"/>
        <family val="1"/>
      </rPr>
      <t>(FIDIS) à la date du 31 décembre 2014</t>
    </r>
  </si>
  <si>
    <t xml:space="preserve">Postes non pourvus 
</t>
  </si>
  <si>
    <t>Source: GALAXIE (ANTARES-ANTEE), DGRH A1-1 &amp; DGRH A2, juillet 2014</t>
  </si>
  <si>
    <t>source: DGRH A1-1, A2, ANTARES-ANTEE, juin 2014</t>
  </si>
  <si>
    <t>Source: GALAXIE (ANTARES-ANTEE), DGRH A1-1 &amp; DGRH A2, septembre 2014</t>
  </si>
  <si>
    <r>
      <t>*</t>
    </r>
    <r>
      <rPr>
        <i/>
        <sz val="10"/>
        <rFont val="Times New Roman"/>
        <family val="1"/>
      </rPr>
      <t xml:space="preserve"> Pourcentage des qualifiés en 2014 par rapport au total.</t>
    </r>
  </si>
  <si>
    <t>(données quantitatives disponibles au 31 décembre 2014)</t>
  </si>
  <si>
    <t>Tableau IV -e</t>
  </si>
  <si>
    <t>Tableau V - b</t>
  </si>
  <si>
    <r>
      <t>(</t>
    </r>
    <r>
      <rPr>
        <sz val="9"/>
        <color rgb="FFFF0000"/>
        <rFont val="Times New Roman"/>
        <family val="1"/>
      </rPr>
      <t>*</t>
    </r>
    <r>
      <rPr>
        <sz val="9"/>
        <rFont val="Times New Roman"/>
        <family val="1"/>
      </rPr>
      <t>) dont 1 poste Fidis (soit 3 postes en plus)</t>
    </r>
  </si>
  <si>
    <t>Article 26-I-3 : concours réservés aux professionnels</t>
  </si>
  <si>
    <t>avec les résultats de la campagne de qualification en 2014</t>
  </si>
  <si>
    <t>Tableau IV - g</t>
  </si>
  <si>
    <t>Attractivité et sélectivité dans le recrutement des maîtres de conférences  par section</t>
  </si>
  <si>
    <t>Postes publiés vacants
(1)</t>
  </si>
  <si>
    <t>Total
recrutés par mutation et détachement
(2)</t>
  </si>
  <si>
    <t xml:space="preserve">Total
 candidatures
(3) </t>
  </si>
  <si>
    <t>Total
candidats (4)</t>
  </si>
  <si>
    <t>Total
 recrutés par concours (5)</t>
  </si>
  <si>
    <t>Taux de réussite
Nb recrutés/
Nb candidats (S)
(2)+(5) / (4)</t>
  </si>
  <si>
    <t>(A) : dans ce tableau, nous appelons "attractivité" le nombre de candidatures/poste et sélectivité (S) le nombre de recrutés/nombre de candidats</t>
  </si>
  <si>
    <t>nombre de candidatures/
poste (A)
(3) / (1)</t>
  </si>
  <si>
    <t>Source: GALAXIE (ANTEE), DGRH A1-1 &amp; DGRH A2, juin 2014</t>
  </si>
  <si>
    <t>une présentation de leur mobilité et une mise en perspective des postes pourvus
avec la phase de qualification en 2014</t>
  </si>
  <si>
    <t xml:space="preserve">Département des études d'effectifs et d'analyse de ressources humaines </t>
  </si>
  <si>
    <t>L'approche démographique des recrutés est complétée</t>
  </si>
  <si>
    <t>par une mise en perspective des postes pourvus avec la phase de qualification en 2014</t>
  </si>
  <si>
    <t>décembre 2014</t>
  </si>
  <si>
    <t>Bilan de la campagne 2014 de recrutement et d'affectation des professeurs des universités 
(session synchronisée - ANTEE)</t>
  </si>
  <si>
    <t xml:space="preserve">Bilan de la campagne 2014 de recrutement des professeurs des universités 
(session synchronisée - ANTEE) </t>
  </si>
  <si>
    <r>
      <t xml:space="preserve">Sur les </t>
    </r>
    <r>
      <rPr>
        <b/>
        <sz val="9"/>
        <rFont val="Times New Roman"/>
        <family val="1"/>
      </rPr>
      <t>1 760</t>
    </r>
    <r>
      <rPr>
        <sz val="9"/>
        <rFont val="Times New Roman"/>
        <family val="1"/>
      </rPr>
      <t xml:space="preserve"> candidats aux concours PR, </t>
    </r>
    <r>
      <rPr>
        <b/>
        <sz val="9"/>
        <color rgb="FFFF0000"/>
        <rFont val="Times New Roman"/>
        <family val="1"/>
      </rPr>
      <t>983</t>
    </r>
    <r>
      <rPr>
        <sz val="9"/>
        <rFont val="Times New Roman"/>
        <family val="1"/>
      </rPr>
      <t xml:space="preserve"> </t>
    </r>
    <r>
      <rPr>
        <sz val="9"/>
        <rFont val="Times New Roman"/>
        <family val="1"/>
      </rPr>
      <t>n'ont déposé qu'une seule candidature, soit 55,85</t>
    </r>
    <r>
      <rPr>
        <b/>
        <sz val="9"/>
        <rFont val="Times New Roman"/>
        <family val="1"/>
      </rPr>
      <t xml:space="preserve"> %</t>
    </r>
    <r>
      <rPr>
        <sz val="9"/>
        <rFont val="Times New Roman"/>
        <family val="1"/>
      </rPr>
      <t xml:space="preserve"> d'entre eux ;</t>
    </r>
  </si>
  <si>
    <r>
      <t xml:space="preserve">et sur les </t>
    </r>
    <r>
      <rPr>
        <b/>
        <sz val="9"/>
        <rFont val="Times New Roman"/>
        <family val="1"/>
      </rPr>
      <t xml:space="preserve">9 270 </t>
    </r>
    <r>
      <rPr>
        <sz val="9"/>
        <rFont val="Times New Roman"/>
        <family val="1"/>
      </rPr>
      <t xml:space="preserve">candidats aux concours MCF, </t>
    </r>
    <r>
      <rPr>
        <b/>
        <sz val="9"/>
        <color rgb="FFFF0000"/>
        <rFont val="Times New Roman"/>
        <family val="1"/>
      </rPr>
      <t>2 227</t>
    </r>
    <r>
      <rPr>
        <sz val="9"/>
        <rFont val="Times New Roman"/>
        <family val="1"/>
      </rPr>
      <t xml:space="preserve"> n'ont déposé qu'une seule candidature, soit 24,02 % d'entre eux.</t>
    </r>
  </si>
  <si>
    <r>
      <t>En outre,</t>
    </r>
    <r>
      <rPr>
        <b/>
        <sz val="9"/>
        <rFont val="Times New Roman"/>
        <family val="1"/>
      </rPr>
      <t xml:space="preserve"> 1 </t>
    </r>
    <r>
      <rPr>
        <sz val="9"/>
        <rFont val="Times New Roman"/>
        <family val="1"/>
      </rPr>
      <t>candidat aux concours de PR a déposé</t>
    </r>
    <r>
      <rPr>
        <b/>
        <sz val="9"/>
        <rFont val="Times New Roman"/>
        <family val="1"/>
      </rPr>
      <t xml:space="preserve"> 44 </t>
    </r>
    <r>
      <rPr>
        <sz val="9"/>
        <rFont val="Times New Roman"/>
        <family val="1"/>
      </rPr>
      <t xml:space="preserve">candidatures et </t>
    </r>
    <r>
      <rPr>
        <b/>
        <sz val="9"/>
        <rFont val="Times New Roman"/>
        <family val="1"/>
      </rPr>
      <t xml:space="preserve">1 </t>
    </r>
    <r>
      <rPr>
        <sz val="9"/>
        <rFont val="Times New Roman"/>
        <family val="1"/>
      </rPr>
      <t>candidat aux concours de MCF a déposé</t>
    </r>
    <r>
      <rPr>
        <b/>
        <sz val="9"/>
        <rFont val="Times New Roman"/>
        <family val="1"/>
      </rPr>
      <t xml:space="preserve"> 163 </t>
    </r>
    <r>
      <rPr>
        <sz val="9"/>
        <rFont val="Times New Roman"/>
        <family val="1"/>
      </rPr>
      <t>candidatures.</t>
    </r>
  </si>
  <si>
    <r>
      <t xml:space="preserve">Enfin, </t>
    </r>
    <r>
      <rPr>
        <b/>
        <sz val="9"/>
        <rFont val="Times New Roman"/>
        <family val="1"/>
      </rPr>
      <t xml:space="preserve">69 </t>
    </r>
    <r>
      <rPr>
        <sz val="9"/>
        <rFont val="Times New Roman"/>
        <family val="1"/>
      </rPr>
      <t>candidats ont déposé simultanément des candidatures aux concours PR et MCF</t>
    </r>
  </si>
  <si>
    <r>
      <t>Sur les</t>
    </r>
    <r>
      <rPr>
        <b/>
        <sz val="9"/>
        <rFont val="Times New Roman"/>
        <family val="1"/>
      </rPr>
      <t xml:space="preserve"> 1 641</t>
    </r>
    <r>
      <rPr>
        <sz val="9"/>
        <rFont val="Times New Roman"/>
        <family val="1"/>
      </rPr>
      <t xml:space="preserve"> candidats aux concours PR,</t>
    </r>
    <r>
      <rPr>
        <b/>
        <sz val="9"/>
        <rFont val="Times New Roman"/>
        <family val="1"/>
      </rPr>
      <t xml:space="preserve"> 882 </t>
    </r>
    <r>
      <rPr>
        <sz val="9"/>
        <rFont val="Times New Roman"/>
        <family val="1"/>
      </rPr>
      <t>n'ont déposé qu'une seule candidature, soit 53,74</t>
    </r>
    <r>
      <rPr>
        <b/>
        <sz val="9"/>
        <rFont val="Times New Roman"/>
        <family val="1"/>
      </rPr>
      <t xml:space="preserve"> %</t>
    </r>
    <r>
      <rPr>
        <sz val="9"/>
        <rFont val="Times New Roman"/>
        <family val="1"/>
      </rPr>
      <t xml:space="preserve"> d'entre eux ;</t>
    </r>
  </si>
  <si>
    <r>
      <t>et sur les</t>
    </r>
    <r>
      <rPr>
        <b/>
        <sz val="9"/>
        <rFont val="Times New Roman"/>
        <family val="1"/>
      </rPr>
      <t xml:space="preserve"> 8 638 </t>
    </r>
    <r>
      <rPr>
        <sz val="9"/>
        <rFont val="Times New Roman"/>
        <family val="1"/>
      </rPr>
      <t xml:space="preserve">candidats aux concours MCF, </t>
    </r>
    <r>
      <rPr>
        <b/>
        <sz val="9"/>
        <rFont val="Times New Roman"/>
        <family val="1"/>
      </rPr>
      <t>2 173</t>
    </r>
    <r>
      <rPr>
        <sz val="9"/>
        <rFont val="Times New Roman"/>
        <family val="1"/>
      </rPr>
      <t xml:space="preserve"> n'ont déposé qu'une seule candidature, soit 25,16 % d'entre eux.</t>
    </r>
  </si>
  <si>
    <r>
      <t xml:space="preserve">En outre, </t>
    </r>
    <r>
      <rPr>
        <b/>
        <sz val="9"/>
        <rFont val="Times New Roman"/>
        <family val="1"/>
      </rPr>
      <t>1</t>
    </r>
    <r>
      <rPr>
        <sz val="9"/>
        <rFont val="Times New Roman"/>
        <family val="1"/>
      </rPr>
      <t xml:space="preserve"> candidat aux concours de PR a déposé </t>
    </r>
    <r>
      <rPr>
        <b/>
        <sz val="9"/>
        <color rgb="FFFF0000"/>
        <rFont val="Times New Roman"/>
        <family val="1"/>
      </rPr>
      <t>42</t>
    </r>
    <r>
      <rPr>
        <sz val="9"/>
        <rFont val="Times New Roman"/>
        <family val="1"/>
      </rPr>
      <t xml:space="preserve"> candidatures et </t>
    </r>
    <r>
      <rPr>
        <b/>
        <sz val="9"/>
        <rFont val="Times New Roman"/>
        <family val="1"/>
      </rPr>
      <t xml:space="preserve">1 </t>
    </r>
    <r>
      <rPr>
        <sz val="9"/>
        <rFont val="Times New Roman"/>
        <family val="1"/>
      </rPr>
      <t>candidat aux concours de MCF a déposé</t>
    </r>
    <r>
      <rPr>
        <b/>
        <sz val="9"/>
        <rFont val="Times New Roman"/>
        <family val="1"/>
      </rPr>
      <t xml:space="preserve"> </t>
    </r>
    <r>
      <rPr>
        <b/>
        <sz val="9"/>
        <color indexed="10"/>
        <rFont val="Times New Roman"/>
        <family val="1"/>
      </rPr>
      <t>156</t>
    </r>
    <r>
      <rPr>
        <sz val="9"/>
        <rFont val="Times New Roman"/>
        <family val="1"/>
      </rPr>
      <t xml:space="preserve"> candidatures.</t>
    </r>
  </si>
  <si>
    <r>
      <t xml:space="preserve">Session "synchronisée" </t>
    </r>
    <r>
      <rPr>
        <sz val="14"/>
        <rFont val="Times New Roman"/>
        <family val="1"/>
      </rPr>
      <t>(ANTEE) à la date du 31 décembre 2014</t>
    </r>
  </si>
  <si>
    <t>Nb de
Sections</t>
  </si>
  <si>
    <t>Source: GALAXIE/ANTARES-ANTEE, DGRH A1-1 &amp; DGRH A2, juin 2014</t>
  </si>
  <si>
    <t>Source: GALAXIE (ANTARES-ANTEE &amp; FIDIS), DGRH A1-1 &amp; DGRH A2, juin 2014</t>
  </si>
  <si>
    <t>Source : DGRH A1-1, A2, GALAXIE (ANTARES-ANTEE), juin 2014</t>
  </si>
  <si>
    <r>
      <t xml:space="preserve">(*) Note de lecture : ce candidat a déposé </t>
    </r>
    <r>
      <rPr>
        <b/>
        <sz val="10"/>
        <color rgb="FFFF0000"/>
        <rFont val="Times New Roman"/>
        <family val="1"/>
      </rPr>
      <t>85</t>
    </r>
    <r>
      <rPr>
        <sz val="10"/>
        <color indexed="8"/>
        <rFont val="Times New Roman"/>
        <family val="2"/>
      </rPr>
      <t xml:space="preserve"> candidatures au sein de</t>
    </r>
    <r>
      <rPr>
        <sz val="10"/>
        <color rgb="FF00B44F"/>
        <rFont val="Times New Roman"/>
        <family val="1"/>
      </rPr>
      <t xml:space="preserve"> </t>
    </r>
    <r>
      <rPr>
        <b/>
        <sz val="10"/>
        <color rgb="FF0000FF"/>
        <rFont val="Times New Roman"/>
        <family val="1"/>
      </rPr>
      <t>41</t>
    </r>
    <r>
      <rPr>
        <sz val="10"/>
        <color indexed="8"/>
        <rFont val="Times New Roman"/>
        <family val="2"/>
      </rPr>
      <t xml:space="preserve"> établissements :
soit </t>
    </r>
    <r>
      <rPr>
        <b/>
        <sz val="10"/>
        <color rgb="FFFF0000"/>
        <rFont val="Times New Roman"/>
        <family val="1"/>
      </rPr>
      <t xml:space="preserve">71 </t>
    </r>
    <r>
      <rPr>
        <sz val="10"/>
        <color indexed="8"/>
        <rFont val="Times New Roman"/>
        <family val="2"/>
      </rPr>
      <t xml:space="preserve">dans la section </t>
    </r>
    <r>
      <rPr>
        <b/>
        <sz val="10"/>
        <color rgb="FF0000FF"/>
        <rFont val="Times New Roman"/>
        <family val="1"/>
      </rPr>
      <t>06</t>
    </r>
    <r>
      <rPr>
        <sz val="10"/>
        <color indexed="8"/>
        <rFont val="Times New Roman"/>
        <family val="2"/>
      </rPr>
      <t xml:space="preserve"> dans laquelle il a été nommé, </t>
    </r>
    <r>
      <rPr>
        <b/>
        <sz val="10"/>
        <color rgb="FFFF0000"/>
        <rFont val="Times New Roman"/>
        <family val="1"/>
      </rPr>
      <t>2</t>
    </r>
    <r>
      <rPr>
        <sz val="10"/>
        <color indexed="8"/>
        <rFont val="Times New Roman"/>
        <family val="2"/>
      </rPr>
      <t xml:space="preserve"> candidatures en section </t>
    </r>
    <r>
      <rPr>
        <b/>
        <sz val="10"/>
        <color rgb="FF0000FF"/>
        <rFont val="Times New Roman"/>
        <family val="1"/>
      </rPr>
      <t>05</t>
    </r>
    <r>
      <rPr>
        <sz val="10"/>
        <color indexed="8"/>
        <rFont val="Times New Roman"/>
        <family val="2"/>
      </rPr>
      <t xml:space="preserve">, </t>
    </r>
    <r>
      <rPr>
        <b/>
        <sz val="10"/>
        <color rgb="FFFF0000"/>
        <rFont val="Times New Roman"/>
        <family val="1"/>
      </rPr>
      <t>1</t>
    </r>
    <r>
      <rPr>
        <sz val="10"/>
        <color indexed="8"/>
        <rFont val="Times New Roman"/>
        <family val="2"/>
      </rPr>
      <t xml:space="preserve"> candidature en section </t>
    </r>
    <r>
      <rPr>
        <b/>
        <sz val="10"/>
        <color rgb="FF0000FF"/>
        <rFont val="Times New Roman"/>
        <family val="1"/>
      </rPr>
      <t>16</t>
    </r>
    <r>
      <rPr>
        <sz val="10"/>
        <color indexed="8"/>
        <rFont val="Times New Roman"/>
        <family val="2"/>
      </rPr>
      <t xml:space="preserve">, </t>
    </r>
    <r>
      <rPr>
        <b/>
        <sz val="10"/>
        <color rgb="FFFF0000"/>
        <rFont val="Times New Roman"/>
        <family val="1"/>
      </rPr>
      <t xml:space="preserve">1 </t>
    </r>
    <r>
      <rPr>
        <sz val="10"/>
        <color indexed="8"/>
        <rFont val="Times New Roman"/>
        <family val="2"/>
      </rPr>
      <t xml:space="preserve">candidature en section </t>
    </r>
    <r>
      <rPr>
        <b/>
        <sz val="10"/>
        <color rgb="FF0000FF"/>
        <rFont val="Times New Roman"/>
        <family val="1"/>
      </rPr>
      <t>61</t>
    </r>
    <r>
      <rPr>
        <sz val="10"/>
        <color indexed="8"/>
        <rFont val="Times New Roman"/>
        <family val="2"/>
      </rPr>
      <t xml:space="preserve"> et </t>
    </r>
    <r>
      <rPr>
        <b/>
        <sz val="10"/>
        <color rgb="FFFF0000"/>
        <rFont val="Times New Roman"/>
        <family val="1"/>
      </rPr>
      <t>10</t>
    </r>
    <r>
      <rPr>
        <sz val="10"/>
        <color indexed="8"/>
        <rFont val="Times New Roman"/>
        <family val="2"/>
      </rPr>
      <t xml:space="preserve"> candidatures en section </t>
    </r>
    <r>
      <rPr>
        <b/>
        <sz val="10"/>
        <color rgb="FF0000FF"/>
        <rFont val="Times New Roman"/>
        <family val="1"/>
      </rPr>
      <t>71</t>
    </r>
    <r>
      <rPr>
        <sz val="10"/>
        <color indexed="8"/>
        <rFont val="Times New Roman"/>
        <family val="2"/>
      </rPr>
      <t xml:space="preserve">.
</t>
    </r>
  </si>
  <si>
    <t>Campagne 2014</t>
  </si>
  <si>
    <t>Article 46.1° : concours externes</t>
  </si>
  <si>
    <t xml:space="preserve">Article 46.3° : concours réservés aux maîtres de conférences (voie longue) </t>
  </si>
  <si>
    <t>Article 46.4° : concours réservés aux professionnels</t>
  </si>
  <si>
    <t>Article 46.3° : concours réservés aux maîtres de conférences (voie longue)</t>
  </si>
  <si>
    <t>* tous articles, y compris les postes du 46.3°, intégrés dans le périmètre de ce tableau, à l'exception des articles 49-2-1 et 49-2-2 des agrégations</t>
  </si>
  <si>
    <r>
      <t xml:space="preserve">Bilan des postes publiés et pourvus </t>
    </r>
    <r>
      <rPr>
        <sz val="10"/>
        <rFont val="Times New Roman"/>
        <family val="1"/>
      </rPr>
      <t>(tous articles confondus *, excepté les agrégations) - session synchronisée</t>
    </r>
    <r>
      <rPr>
        <b/>
        <sz val="10"/>
        <rFont val="Times New Roman"/>
        <family val="1"/>
      </rPr>
      <t xml:space="preserve">
Répartition par établissement, académie, grande discipline et nature de poste.</t>
    </r>
  </si>
  <si>
    <t xml:space="preserve">Nombre de candidatures des candidats nommés (session synchronisée) </t>
  </si>
  <si>
    <t>Candidats nommés 
aux concours *</t>
  </si>
  <si>
    <t xml:space="preserve">Répartition par section des candidatures des candidats nommés (concours) - session synchronisée </t>
  </si>
  <si>
    <t>1) Cas des candidats ayant déposé entre 9 et 13 candidatures (Professeurs) *</t>
  </si>
  <si>
    <t>DGRH A1-1</t>
  </si>
  <si>
    <t>Article 46.1° : mutations et détachements</t>
  </si>
  <si>
    <t xml:space="preserve"> emplois de professeurs au titre des articles 46.3°, 46.4°, 49-2-1 et 49-2-2 +  emplois de maîtres de conférences au titre des articles 26-I-2, et 26-I-3.</t>
  </si>
  <si>
    <t>Article 46.1°</t>
  </si>
  <si>
    <r>
      <t>Analyse des postes pourvus par les professeurs mutés</t>
    </r>
    <r>
      <rPr>
        <b/>
        <sz val="12"/>
        <rFont val="Times New Roman"/>
        <family val="1"/>
      </rPr>
      <t xml:space="preserve"> (art 46.1° et art 51)</t>
    </r>
  </si>
  <si>
    <r>
      <t xml:space="preserve">Analyse des postes pourvus par les maîtres de conférences mutés </t>
    </r>
    <r>
      <rPr>
        <b/>
        <sz val="12"/>
        <rFont val="Times New Roman"/>
        <family val="1"/>
      </rPr>
      <t>(art 26-I-1)</t>
    </r>
  </si>
  <si>
    <r>
      <t xml:space="preserve">I -  Professeurs des universités </t>
    </r>
    <r>
      <rPr>
        <b/>
        <sz val="12"/>
        <rFont val="Times New Roman"/>
        <family val="1"/>
      </rPr>
      <t>(art 46.1° et art 51)</t>
    </r>
  </si>
  <si>
    <r>
      <t>II - Maîtres de conférences</t>
    </r>
    <r>
      <rPr>
        <b/>
        <sz val="12"/>
        <rFont val="Times New Roman"/>
        <family val="1"/>
      </rPr>
      <t xml:space="preserve"> (art 26-I-1)</t>
    </r>
  </si>
  <si>
    <t>PR *</t>
  </si>
  <si>
    <t>MCF *</t>
  </si>
  <si>
    <t>Article 46.1° : concours externes (2)</t>
  </si>
  <si>
    <t>Postes non pourvus (cf. tableau III) *</t>
  </si>
  <si>
    <t xml:space="preserve">(*) exceptés les articles 46.3° ("voie longue"), 49-2-1 (agrégation externe), 49-2-2 (agrégation interne), 51 (mutations et détachements exclusivement). </t>
  </si>
  <si>
    <t>(*) exceptés les articles 46.3° ("voie longue"), 49-2-1 (agrégation externe), 49-2-2 (agrégation interne),  51 (mutations et détachements exclusivement).</t>
  </si>
  <si>
    <t>Ratio par corps et par discipline du nombre des qualifications 2014 et des postes offerts au recrutement (*)</t>
  </si>
  <si>
    <t>Article 46.3° (voie longue)</t>
  </si>
  <si>
    <t>Article 46.4° (voie professionnelle)</t>
  </si>
  <si>
    <t>(*) : art 46.1° et 46.4°</t>
  </si>
  <si>
    <t>Bilan de la phase de qualification par le CNU en 2014</t>
  </si>
  <si>
    <t>Répartition des qualifications 2014 par section du CNU, corps et sexe des individus qualifiés</t>
  </si>
  <si>
    <t xml:space="preserve"> Qualifiés 
en 2014</t>
  </si>
  <si>
    <t>Candidatures 
à la qualification
en 2014</t>
  </si>
  <si>
    <t>Qualifiés
en 2014</t>
  </si>
  <si>
    <t xml:space="preserve">Candidatures 
à la qualification
2014
</t>
  </si>
  <si>
    <t>PR autres articles (*)</t>
  </si>
  <si>
    <t>(*) Le nombre de postes de PR indiqué ne prend pas en compte les concours de l'article 46.3° ("voie longue") et des agrégations.</t>
  </si>
  <si>
    <t xml:space="preserve">Synthèse des candidats et candidatures au détachement, à la mutation et au concours (*) (session synchronisée) </t>
  </si>
  <si>
    <t>Pacifique</t>
  </si>
  <si>
    <t>Agrégation interne ( article 49-2-2 )</t>
  </si>
  <si>
    <t>Taux de recrutement
des qualifiés 2014</t>
  </si>
  <si>
    <t>Toutes sections confondues</t>
  </si>
  <si>
    <t>Tous articles confondus (*) faisant apparaître les candidatures, les candidats et les recrutés</t>
  </si>
  <si>
    <t>9220 (**)</t>
  </si>
  <si>
    <t>(**) : ce nombre n'est pas la somme de la colonne (qui est de 13 570) mais le nombre total de candidats au concours de MCF</t>
  </si>
  <si>
    <t>(*) : tous articles confondus (art 26-I-1, 26-I-2 et 26-I-3)</t>
  </si>
  <si>
    <t>Les 4 postes non pourvus au titre de l'art 46.3° ne figurent pas dans ce tableau (avis défavorable des sections du CNU)</t>
  </si>
  <si>
    <t>Article  46.1°</t>
  </si>
  <si>
    <t>Article  46.4° (voie professionnelle)</t>
  </si>
  <si>
    <t>Taux de recrutement des qualifiés 2014</t>
  </si>
  <si>
    <t xml:space="preserve">(*) : pour les professeurs, articles 46.1° et 46.4°( exceptés les articles 46.3° ("voie longue"), 49-2-1 (agrégation externe), 49-2-2 (agrégation interne) et 51 (mutations et détachements exclusivement).
</t>
  </si>
  <si>
    <t>Soldes migratoires des mutations depuis la campagne 2004 (*)</t>
  </si>
  <si>
    <t xml:space="preserve">(*) : PR (art 46.1° et art 51) - MCF (art 26-I-1)   </t>
  </si>
  <si>
    <t>* Pour les concours, ne sont pas pris en compte les concours de l'article 46.3° ("voie longue") et des agrégations.</t>
  </si>
  <si>
    <t>* Ne sont pas pris en compte les concours de l'article 46.3° ("voie longue") et les agrégations.</t>
  </si>
  <si>
    <t>* par convention, les postes non pourvus sont tous considérés comme relevant du concours.</t>
  </si>
  <si>
    <t>(**) pour les disciplines des sections 1 à 6, la mise en regard des qualifiés et des postes offerts n'est pas pertinente, le recrutement se déroulant essentiellement par les agrégations
 ou par la "voie longue".</t>
  </si>
</sst>
</file>

<file path=xl/styles.xml><?xml version="1.0" encoding="utf-8"?>
<styleSheet xmlns="http://schemas.openxmlformats.org/spreadsheetml/2006/main">
  <numFmts count="33">
    <numFmt numFmtId="164" formatCode="0&quot;     &quot;"/>
    <numFmt numFmtId="165" formatCode="0.00%&quot;     &quot;"/>
    <numFmt numFmtId="166" formatCode="0.0%&quot;     &quot;"/>
    <numFmt numFmtId="167" formatCode="dd\ mmmm\ yyyy"/>
    <numFmt numFmtId="168" formatCode="0&quot;   &quot;"/>
    <numFmt numFmtId="169" formatCode="00"/>
    <numFmt numFmtId="170" formatCode="0.00&quot;   &quot;"/>
    <numFmt numFmtId="171" formatCode="0.0%"/>
    <numFmt numFmtId="172" formatCode="0&quot; (*)&quot;"/>
    <numFmt numFmtId="173" formatCode="0&quot;        &quot;"/>
    <numFmt numFmtId="174" formatCode="#,##0&quot;   &quot;"/>
    <numFmt numFmtId="175" formatCode="#,##0.00%&quot;   &quot;"/>
    <numFmt numFmtId="176" formatCode="#,##0&quot;  *&quot;"/>
    <numFmt numFmtId="177" formatCode="0.00%&quot;   &quot;"/>
    <numFmt numFmtId="178" formatCode="#,##0&quot;  &quot;"/>
    <numFmt numFmtId="179" formatCode="0.0%&quot;   &quot;"/>
    <numFmt numFmtId="180" formatCode="0.00%&quot; &quot;"/>
    <numFmt numFmtId="181" formatCode="0.00%&quot;  &quot;"/>
    <numFmt numFmtId="182" formatCode="#,##0&quot;     &quot;"/>
    <numFmt numFmtId="183" formatCode="#,##0&quot; (*) &quot;"/>
    <numFmt numFmtId="184" formatCode="0&quot;    &quot;"/>
    <numFmt numFmtId="185" formatCode="#,##0.00&quot;   &quot;"/>
    <numFmt numFmtId="186" formatCode="_-* #,##0.00\ [$€-1]_-;\-* #,##0.00\ [$€-1]_-;_-* &quot;-&quot;??\ [$€-1]_-"/>
    <numFmt numFmtId="187" formatCode="#,##0&quot; &quot;"/>
    <numFmt numFmtId="188" formatCode="0.00&quot;  &quot;"/>
    <numFmt numFmtId="189" formatCode="#,##0&quot;&quot;"/>
    <numFmt numFmtId="190" formatCode="0&quot; &quot;"/>
    <numFmt numFmtId="191" formatCode="0&quot;  &quot;"/>
    <numFmt numFmtId="192" formatCode="#,##0&quot;          &quot;"/>
    <numFmt numFmtId="193" formatCode="#,##0&quot;    &quot;"/>
    <numFmt numFmtId="194" formatCode="0.0"/>
    <numFmt numFmtId="195" formatCode="0.0&quot;   &quot;"/>
    <numFmt numFmtId="196" formatCode="0.00000%"/>
  </numFmts>
  <fonts count="106">
    <font>
      <sz val="10"/>
      <name val="Arial"/>
    </font>
    <font>
      <sz val="10"/>
      <color theme="1"/>
      <name val="Times New Roman"/>
      <family val="2"/>
    </font>
    <font>
      <sz val="10"/>
      <color theme="1"/>
      <name val="Times New Roman"/>
      <family val="2"/>
    </font>
    <font>
      <sz val="10"/>
      <color theme="1"/>
      <name val="Times New Roman"/>
      <family val="2"/>
    </font>
    <font>
      <sz val="11"/>
      <color theme="1"/>
      <name val="Times New Roman"/>
      <family val="2"/>
      <scheme val="minor"/>
    </font>
    <font>
      <sz val="10"/>
      <color theme="1"/>
      <name val="Times New Roman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Arial"/>
      <family val="2"/>
    </font>
    <font>
      <b/>
      <sz val="14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Arial"/>
      <family val="2"/>
    </font>
    <font>
      <b/>
      <sz val="16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16"/>
      <name val="Arial"/>
      <family val="2"/>
    </font>
    <font>
      <b/>
      <sz val="18"/>
      <name val="Times New Roman"/>
      <family val="1"/>
    </font>
    <font>
      <sz val="14"/>
      <name val="Arial"/>
      <family val="2"/>
    </font>
    <font>
      <b/>
      <sz val="14"/>
      <name val="Times New Roman"/>
      <family val="1"/>
    </font>
    <font>
      <sz val="12"/>
      <name val="Arial"/>
      <family val="2"/>
    </font>
    <font>
      <sz val="14"/>
      <name val="Times New Roman"/>
      <family val="1"/>
    </font>
    <font>
      <sz val="10"/>
      <name val="Times New Roman"/>
      <family val="1"/>
    </font>
    <font>
      <sz val="9"/>
      <name val="Arial"/>
      <family val="2"/>
    </font>
    <font>
      <sz val="8.5"/>
      <name val="Arial"/>
      <family val="2"/>
    </font>
    <font>
      <i/>
      <sz val="8.5"/>
      <name val="Arial"/>
      <family val="2"/>
    </font>
    <font>
      <sz val="26"/>
      <color indexed="10"/>
      <name val="Arial"/>
      <family val="2"/>
    </font>
    <font>
      <b/>
      <sz val="20"/>
      <name val="Times New Roman"/>
      <family val="1"/>
    </font>
    <font>
      <b/>
      <sz val="9"/>
      <color indexed="10"/>
      <name val="Times New Roman"/>
      <family val="1"/>
    </font>
    <font>
      <sz val="8"/>
      <name val="Times New Roman"/>
      <family val="1"/>
    </font>
    <font>
      <b/>
      <sz val="9"/>
      <color indexed="48"/>
      <name val="Times New Roman"/>
      <family val="1"/>
    </font>
    <font>
      <sz val="11"/>
      <name val="Times New Roman"/>
      <family val="1"/>
    </font>
    <font>
      <sz val="8"/>
      <name val="MS Sans Serif"/>
      <family val="2"/>
    </font>
    <font>
      <u/>
      <sz val="12"/>
      <name val="Times New Roman"/>
      <family val="1"/>
    </font>
    <font>
      <sz val="12"/>
      <name val="Comic Sans MS"/>
      <family val="4"/>
    </font>
    <font>
      <sz val="11"/>
      <name val="Comic Sans MS"/>
      <family val="4"/>
    </font>
    <font>
      <vertAlign val="superscript"/>
      <sz val="12"/>
      <name val="Times New Roman"/>
      <family val="1"/>
    </font>
    <font>
      <sz val="9"/>
      <name val="Times New Roman"/>
      <family val="1"/>
    </font>
    <font>
      <sz val="20"/>
      <name val="Times New Roman"/>
      <family val="1"/>
    </font>
    <font>
      <b/>
      <i/>
      <sz val="8"/>
      <name val="Times New Roman"/>
      <family val="1"/>
    </font>
    <font>
      <i/>
      <sz val="9"/>
      <name val="Times New Roman"/>
      <family val="1"/>
    </font>
    <font>
      <sz val="9"/>
      <color indexed="10"/>
      <name val="Times New Roman"/>
      <family val="1"/>
    </font>
    <font>
      <sz val="10"/>
      <name val="Helv"/>
    </font>
    <font>
      <b/>
      <i/>
      <sz val="12"/>
      <name val="Times New Roman"/>
      <family val="1"/>
    </font>
    <font>
      <b/>
      <sz val="10"/>
      <name val="Helv"/>
    </font>
    <font>
      <i/>
      <sz val="12"/>
      <name val="Arial"/>
      <family val="2"/>
    </font>
    <font>
      <b/>
      <sz val="16"/>
      <color indexed="10"/>
      <name val="Times New Roman"/>
      <family val="1"/>
    </font>
    <font>
      <sz val="7"/>
      <name val="Times New Roman"/>
      <family val="1"/>
    </font>
    <font>
      <b/>
      <sz val="10"/>
      <name val="Arial"/>
      <family val="2"/>
    </font>
    <font>
      <sz val="12"/>
      <color indexed="18"/>
      <name val="Comic Sans MS"/>
      <family val="4"/>
    </font>
    <font>
      <sz val="11"/>
      <color indexed="18"/>
      <name val="Comic Sans MS"/>
      <family val="4"/>
    </font>
    <font>
      <sz val="10"/>
      <color indexed="18"/>
      <name val="Arial"/>
      <family val="2"/>
    </font>
    <font>
      <b/>
      <sz val="14"/>
      <color indexed="18"/>
      <name val="Times New Roman"/>
      <family val="1"/>
    </font>
    <font>
      <b/>
      <sz val="10"/>
      <color indexed="18"/>
      <name val="Times New Roman"/>
      <family val="1"/>
    </font>
    <font>
      <sz val="14"/>
      <color indexed="18"/>
      <name val="Arial"/>
      <family val="2"/>
    </font>
    <font>
      <b/>
      <sz val="9"/>
      <color indexed="18"/>
      <name val="Times New Roman"/>
      <family val="1"/>
    </font>
    <font>
      <b/>
      <sz val="10"/>
      <name val="Cambria"/>
      <family val="1"/>
    </font>
    <font>
      <b/>
      <sz val="9"/>
      <name val="Cambria"/>
      <family val="1"/>
    </font>
    <font>
      <sz val="14"/>
      <name val="Comic Sans MS"/>
      <family val="4"/>
    </font>
    <font>
      <sz val="11"/>
      <color indexed="18"/>
      <name val="Times New Roman"/>
      <family val="1"/>
    </font>
    <font>
      <i/>
      <sz val="10"/>
      <name val="Arial"/>
      <family val="2"/>
    </font>
    <font>
      <sz val="10"/>
      <color indexed="8"/>
      <name val="Times New Roman"/>
      <family val="2"/>
    </font>
    <font>
      <sz val="10"/>
      <color theme="1"/>
      <name val="Times New Roman"/>
      <family val="2"/>
    </font>
    <font>
      <sz val="9"/>
      <name val="Times New Roman"/>
      <family val="1"/>
      <scheme val="minor"/>
    </font>
    <font>
      <b/>
      <sz val="10"/>
      <color theme="1"/>
      <name val="Times New Roman"/>
      <family val="1"/>
    </font>
    <font>
      <b/>
      <sz val="10"/>
      <color rgb="FFFF0000"/>
      <name val="Times New Roman"/>
      <family val="1"/>
    </font>
    <font>
      <b/>
      <sz val="11"/>
      <color theme="1"/>
      <name val="Times New Roman"/>
      <family val="1"/>
    </font>
    <font>
      <b/>
      <sz val="10"/>
      <color rgb="FFC00000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  <scheme val="major"/>
    </font>
    <font>
      <sz val="10"/>
      <name val="Times New Roman"/>
      <family val="1"/>
      <scheme val="minor"/>
    </font>
    <font>
      <sz val="9"/>
      <color theme="1"/>
      <name val="Times New Roman"/>
      <family val="2"/>
    </font>
    <font>
      <b/>
      <sz val="9"/>
      <name val="Times New Roman"/>
      <family val="1"/>
      <scheme val="minor"/>
    </font>
    <font>
      <sz val="12"/>
      <name val="Times New Roman"/>
      <family val="1"/>
      <scheme val="minor"/>
    </font>
    <font>
      <b/>
      <sz val="12"/>
      <name val="Times New Roman"/>
      <family val="1"/>
      <scheme val="minor"/>
    </font>
    <font>
      <b/>
      <sz val="10"/>
      <name val="Times New Roman"/>
      <family val="1"/>
      <scheme val="minor"/>
    </font>
    <font>
      <b/>
      <sz val="14"/>
      <name val="Times New Roman"/>
      <family val="1"/>
      <scheme val="minor"/>
    </font>
    <font>
      <u/>
      <sz val="12"/>
      <name val="Times New Roman"/>
      <family val="1"/>
      <scheme val="minor"/>
    </font>
    <font>
      <sz val="14"/>
      <name val="Times New Roman"/>
      <family val="1"/>
      <scheme val="major"/>
    </font>
    <font>
      <sz val="10"/>
      <name val="Times New Roman"/>
      <family val="1"/>
      <scheme val="major"/>
    </font>
    <font>
      <b/>
      <sz val="9"/>
      <name val="Times New Roman"/>
      <family val="1"/>
      <scheme val="major"/>
    </font>
    <font>
      <b/>
      <sz val="14"/>
      <name val="Times New Roman"/>
      <family val="1"/>
      <scheme val="major"/>
    </font>
    <font>
      <sz val="12"/>
      <name val="Times New Roman"/>
      <family val="1"/>
      <scheme val="major"/>
    </font>
    <font>
      <b/>
      <sz val="12"/>
      <name val="Times New Roman"/>
      <family val="1"/>
      <scheme val="major"/>
    </font>
    <font>
      <b/>
      <sz val="16"/>
      <name val="Times New Roman"/>
      <family val="1"/>
      <scheme val="major"/>
    </font>
    <font>
      <sz val="14"/>
      <name val="Times New Roman"/>
      <family val="1"/>
      <scheme val="minor"/>
    </font>
    <font>
      <sz val="11"/>
      <color indexed="18"/>
      <name val="Times New Roman"/>
      <family val="1"/>
      <scheme val="major"/>
    </font>
    <font>
      <b/>
      <sz val="10"/>
      <color rgb="FF00B0F0"/>
      <name val="Arial"/>
      <family val="2"/>
    </font>
    <font>
      <b/>
      <sz val="9"/>
      <color rgb="FFFF0000"/>
      <name val="Times New Roman"/>
      <family val="1"/>
    </font>
    <font>
      <b/>
      <sz val="11"/>
      <color rgb="FFFF0000"/>
      <name val="Arial"/>
      <family val="2"/>
    </font>
    <font>
      <b/>
      <sz val="11"/>
      <color indexed="18"/>
      <name val="Times New Roman"/>
      <family val="1"/>
    </font>
    <font>
      <b/>
      <sz val="11"/>
      <color rgb="FF0033CC"/>
      <name val="Times New Roman"/>
      <family val="2"/>
      <scheme val="minor"/>
    </font>
    <font>
      <b/>
      <sz val="10"/>
      <color rgb="FF0000FF"/>
      <name val="Times New Roman"/>
      <family val="1"/>
    </font>
    <font>
      <sz val="10"/>
      <color rgb="FF00B44F"/>
      <name val="Times New Roman"/>
      <family val="1"/>
    </font>
    <font>
      <sz val="9"/>
      <color rgb="FFFF0000"/>
      <name val="Times New Roman"/>
      <family val="1"/>
    </font>
    <font>
      <sz val="8"/>
      <name val="Times New Roman"/>
      <family val="1"/>
      <scheme val="major"/>
    </font>
    <font>
      <sz val="14"/>
      <color indexed="18"/>
      <name val="Times New Roman"/>
      <family val="1"/>
    </font>
    <font>
      <sz val="14"/>
      <color indexed="18"/>
      <name val="Times New Roman"/>
      <family val="1"/>
      <scheme val="major"/>
    </font>
  </fonts>
  <fills count="26">
    <fill>
      <patternFill patternType="none"/>
    </fill>
    <fill>
      <patternFill patternType="gray125"/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3"/>
        <bgColor indexed="41"/>
      </patternFill>
    </fill>
    <fill>
      <patternFill patternType="solid">
        <fgColor indexed="42"/>
        <bgColor indexed="27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</fills>
  <borders count="144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hair">
        <color indexed="63"/>
      </bottom>
      <diagonal/>
    </border>
    <border>
      <left style="thin">
        <color indexed="63"/>
      </left>
      <right style="thin">
        <color indexed="63"/>
      </right>
      <top/>
      <bottom style="hair">
        <color indexed="63"/>
      </bottom>
      <diagonal/>
    </border>
    <border>
      <left style="thin">
        <color indexed="63"/>
      </left>
      <right style="thin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thin">
        <color indexed="63"/>
      </right>
      <top style="hair">
        <color indexed="63"/>
      </top>
      <bottom/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/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medium">
        <color indexed="63"/>
      </right>
      <top style="thin">
        <color indexed="64"/>
      </top>
      <bottom style="hair">
        <color indexed="63"/>
      </bottom>
      <diagonal/>
    </border>
    <border>
      <left style="thin">
        <color indexed="63"/>
      </left>
      <right style="medium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medium">
        <color indexed="63"/>
      </right>
      <top style="hair">
        <color indexed="63"/>
      </top>
      <bottom/>
      <diagonal/>
    </border>
    <border>
      <left style="thin">
        <color indexed="63"/>
      </left>
      <right style="medium">
        <color indexed="63"/>
      </right>
      <top/>
      <bottom style="hair">
        <color indexed="63"/>
      </bottom>
      <diagonal/>
    </border>
    <border>
      <left style="medium">
        <color indexed="63"/>
      </left>
      <right/>
      <top/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medium">
        <color indexed="64"/>
      </bottom>
      <diagonal/>
    </border>
    <border>
      <left style="thin">
        <color indexed="63"/>
      </left>
      <right style="medium">
        <color indexed="63"/>
      </right>
      <top style="thin">
        <color indexed="63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medium">
        <color indexed="63"/>
      </right>
      <top style="thin">
        <color indexed="64"/>
      </top>
      <bottom style="thin">
        <color indexed="63"/>
      </bottom>
      <diagonal/>
    </border>
  </borders>
  <cellStyleXfs count="25">
    <xf numFmtId="0" fontId="0" fillId="0" borderId="0"/>
    <xf numFmtId="186" fontId="30" fillId="0" borderId="0" applyFont="0" applyFill="0" applyBorder="0" applyAlignment="0" applyProtection="0"/>
    <xf numFmtId="0" fontId="17" fillId="0" borderId="0"/>
    <xf numFmtId="0" fontId="70" fillId="0" borderId="0"/>
    <xf numFmtId="0" fontId="8" fillId="0" borderId="0"/>
    <xf numFmtId="0" fontId="50" fillId="0" borderId="0"/>
    <xf numFmtId="0" fontId="8" fillId="0" borderId="0"/>
    <xf numFmtId="0" fontId="30" fillId="0" borderId="0"/>
    <xf numFmtId="0" fontId="17" fillId="0" borderId="0"/>
    <xf numFmtId="0" fontId="30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30" fillId="0" borderId="0">
      <alignment horizontal="centerContinuous" vertical="center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4" fontId="39" fillId="0" borderId="1">
      <alignment horizontal="center" vertical="center"/>
    </xf>
    <xf numFmtId="49" fontId="40" fillId="2" borderId="2" applyNumberFormat="0">
      <protection locked="0"/>
    </xf>
    <xf numFmtId="1" fontId="11" fillId="0" borderId="3" applyNumberFormat="0" applyFont="0"/>
    <xf numFmtId="0" fontId="4" fillId="0" borderId="0"/>
    <xf numFmtId="0" fontId="3" fillId="0" borderId="0"/>
  </cellStyleXfs>
  <cellXfs count="2252">
    <xf numFmtId="0" fontId="0" fillId="0" borderId="0" xfId="0"/>
    <xf numFmtId="1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Continuous"/>
    </xf>
    <xf numFmtId="0" fontId="10" fillId="0" borderId="0" xfId="0" applyFont="1"/>
    <xf numFmtId="166" fontId="10" fillId="0" borderId="0" xfId="0" applyNumberFormat="1" applyFont="1"/>
    <xf numFmtId="0" fontId="13" fillId="0" borderId="0" xfId="0" applyFont="1" applyAlignment="1">
      <alignment horizontal="centerContinuous"/>
    </xf>
    <xf numFmtId="0" fontId="13" fillId="0" borderId="0" xfId="0" applyFont="1"/>
    <xf numFmtId="0" fontId="13" fillId="0" borderId="0" xfId="0" applyFont="1" applyBorder="1" applyAlignment="1">
      <alignment horizontal="centerContinuous"/>
    </xf>
    <xf numFmtId="0" fontId="0" fillId="0" borderId="0" xfId="0" applyAlignment="1">
      <alignment horizontal="centerContinuous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left"/>
    </xf>
    <xf numFmtId="0" fontId="9" fillId="0" borderId="0" xfId="0" applyFont="1" applyAlignment="1">
      <alignment horizontal="centerContinuous"/>
    </xf>
    <xf numFmtId="0" fontId="10" fillId="0" borderId="0" xfId="0" applyFont="1" applyAlignment="1">
      <alignment horizontal="left"/>
    </xf>
    <xf numFmtId="1" fontId="13" fillId="0" borderId="0" xfId="0" applyNumberFormat="1" applyFont="1" applyBorder="1" applyAlignment="1">
      <alignment horizontal="centerContinuous"/>
    </xf>
    <xf numFmtId="1" fontId="0" fillId="0" borderId="0" xfId="0" applyNumberFormat="1" applyAlignment="1">
      <alignment horizontal="centerContinuous"/>
    </xf>
    <xf numFmtId="1" fontId="10" fillId="0" borderId="0" xfId="0" applyNumberFormat="1" applyFont="1"/>
    <xf numFmtId="1" fontId="12" fillId="0" borderId="0" xfId="0" applyNumberFormat="1" applyFont="1"/>
    <xf numFmtId="0" fontId="16" fillId="0" borderId="0" xfId="0" applyFont="1" applyAlignment="1">
      <alignment horizontal="centerContinuous"/>
    </xf>
    <xf numFmtId="1" fontId="16" fillId="0" borderId="0" xfId="0" applyNumberFormat="1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17" fillId="0" borderId="0" xfId="0" applyFont="1"/>
    <xf numFmtId="1" fontId="16" fillId="0" borderId="0" xfId="0" applyNumberFormat="1" applyFont="1" applyAlignment="1">
      <alignment horizontal="centerContinuous"/>
    </xf>
    <xf numFmtId="0" fontId="11" fillId="0" borderId="0" xfId="0" applyFont="1"/>
    <xf numFmtId="0" fontId="6" fillId="0" borderId="0" xfId="0" applyFont="1"/>
    <xf numFmtId="1" fontId="6" fillId="0" borderId="0" xfId="0" applyNumberFormat="1" applyFont="1"/>
    <xf numFmtId="0" fontId="16" fillId="0" borderId="0" xfId="0" applyFont="1"/>
    <xf numFmtId="1" fontId="11" fillId="0" borderId="0" xfId="0" applyNumberFormat="1" applyFont="1"/>
    <xf numFmtId="0" fontId="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1" fontId="11" fillId="0" borderId="0" xfId="0" applyNumberFormat="1" applyFont="1" applyAlignment="1">
      <alignment horizontal="center"/>
    </xf>
    <xf numFmtId="1" fontId="13" fillId="0" borderId="0" xfId="0" applyNumberFormat="1" applyFont="1"/>
    <xf numFmtId="168" fontId="12" fillId="0" borderId="0" xfId="0" applyNumberFormat="1" applyFont="1" applyAlignment="1">
      <alignment vertical="center"/>
    </xf>
    <xf numFmtId="168" fontId="11" fillId="0" borderId="0" xfId="0" applyNumberFormat="1" applyFont="1" applyAlignment="1">
      <alignment vertical="center"/>
    </xf>
    <xf numFmtId="168" fontId="6" fillId="0" borderId="0" xfId="0" applyNumberFormat="1" applyFont="1" applyAlignment="1">
      <alignment vertical="center"/>
    </xf>
    <xf numFmtId="168" fontId="19" fillId="0" borderId="0" xfId="0" applyNumberFormat="1" applyFont="1" applyAlignment="1">
      <alignment vertical="center"/>
    </xf>
    <xf numFmtId="168" fontId="11" fillId="0" borderId="0" xfId="0" applyNumberFormat="1" applyFont="1" applyAlignment="1">
      <alignment horizontal="center" vertical="center"/>
    </xf>
    <xf numFmtId="1" fontId="11" fillId="0" borderId="0" xfId="0" applyNumberFormat="1" applyFont="1" applyBorder="1" applyAlignment="1">
      <alignment vertical="top" wrapText="1"/>
    </xf>
    <xf numFmtId="0" fontId="17" fillId="0" borderId="0" xfId="0" applyFont="1" applyBorder="1"/>
    <xf numFmtId="0" fontId="11" fillId="0" borderId="0" xfId="0" applyFont="1" applyBorder="1"/>
    <xf numFmtId="1" fontId="11" fillId="0" borderId="0" xfId="0" applyNumberFormat="1" applyFont="1" applyBorder="1" applyAlignment="1">
      <alignment horizontal="centerContinuous"/>
    </xf>
    <xf numFmtId="1" fontId="14" fillId="0" borderId="0" xfId="0" applyNumberFormat="1" applyFont="1" applyBorder="1"/>
    <xf numFmtId="1" fontId="14" fillId="0" borderId="0" xfId="0" applyNumberFormat="1" applyFont="1" applyBorder="1" applyAlignment="1">
      <alignment horizontal="right"/>
    </xf>
    <xf numFmtId="0" fontId="22" fillId="0" borderId="0" xfId="0" applyFont="1" applyBorder="1"/>
    <xf numFmtId="168" fontId="6" fillId="0" borderId="0" xfId="0" applyNumberFormat="1" applyFont="1" applyBorder="1" applyAlignment="1">
      <alignment vertical="center"/>
    </xf>
    <xf numFmtId="168" fontId="11" fillId="0" borderId="0" xfId="0" applyNumberFormat="1" applyFont="1" applyBorder="1" applyAlignment="1">
      <alignment vertical="center"/>
    </xf>
    <xf numFmtId="0" fontId="14" fillId="0" borderId="0" xfId="0" applyNumberFormat="1" applyFont="1" applyBorder="1"/>
    <xf numFmtId="0" fontId="23" fillId="0" borderId="0" xfId="0" applyNumberFormat="1" applyFont="1" applyBorder="1"/>
    <xf numFmtId="0" fontId="11" fillId="0" borderId="0" xfId="0" applyNumberFormat="1" applyFont="1" applyBorder="1" applyAlignment="1">
      <alignment vertical="center"/>
    </xf>
    <xf numFmtId="0" fontId="11" fillId="0" borderId="0" xfId="0" applyNumberFormat="1" applyFont="1" applyAlignment="1">
      <alignment vertical="center"/>
    </xf>
    <xf numFmtId="0" fontId="13" fillId="0" borderId="0" xfId="0" applyFont="1" applyAlignment="1">
      <alignment horizontal="left"/>
    </xf>
    <xf numFmtId="0" fontId="26" fillId="0" borderId="0" xfId="0" applyFont="1" applyAlignment="1">
      <alignment horizontal="centerContinuous"/>
    </xf>
    <xf numFmtId="0" fontId="18" fillId="0" borderId="0" xfId="0" applyFont="1"/>
    <xf numFmtId="1" fontId="26" fillId="0" borderId="0" xfId="0" applyNumberFormat="1" applyFont="1" applyAlignment="1">
      <alignment horizontal="centerContinuous"/>
    </xf>
    <xf numFmtId="0" fontId="16" fillId="0" borderId="0" xfId="0" applyFont="1" applyAlignment="1">
      <alignment vertical="center"/>
    </xf>
    <xf numFmtId="0" fontId="10" fillId="0" borderId="0" xfId="16" applyFont="1"/>
    <xf numFmtId="0" fontId="8" fillId="0" borderId="0" xfId="16"/>
    <xf numFmtId="0" fontId="10" fillId="0" borderId="0" xfId="16" applyFont="1" applyAlignment="1">
      <alignment horizontal="left"/>
    </xf>
    <xf numFmtId="166" fontId="10" fillId="0" borderId="0" xfId="16" applyNumberFormat="1" applyFont="1" applyAlignment="1">
      <alignment horizontal="left"/>
    </xf>
    <xf numFmtId="0" fontId="12" fillId="0" borderId="0" xfId="16" applyFont="1"/>
    <xf numFmtId="0" fontId="10" fillId="0" borderId="0" xfId="16" applyFont="1" applyAlignment="1">
      <alignment vertical="center"/>
    </xf>
    <xf numFmtId="166" fontId="10" fillId="0" borderId="0" xfId="16" applyNumberFormat="1" applyFont="1"/>
    <xf numFmtId="0" fontId="0" fillId="0" borderId="0" xfId="0" applyAlignment="1">
      <alignment vertical="center"/>
    </xf>
    <xf numFmtId="171" fontId="10" fillId="0" borderId="0" xfId="18" applyNumberFormat="1" applyFont="1"/>
    <xf numFmtId="0" fontId="8" fillId="0" borderId="0" xfId="13"/>
    <xf numFmtId="1" fontId="10" fillId="0" borderId="0" xfId="13" applyNumberFormat="1" applyFont="1" applyAlignment="1">
      <alignment horizontal="centerContinuous" vertical="center"/>
    </xf>
    <xf numFmtId="0" fontId="21" fillId="0" borderId="0" xfId="13" applyFont="1" applyAlignment="1">
      <alignment vertical="top"/>
    </xf>
    <xf numFmtId="0" fontId="10" fillId="0" borderId="0" xfId="13" applyFont="1"/>
    <xf numFmtId="0" fontId="8" fillId="0" borderId="0" xfId="13" applyAlignment="1">
      <alignment vertical="center"/>
    </xf>
    <xf numFmtId="0" fontId="15" fillId="0" borderId="0" xfId="13" applyFont="1"/>
    <xf numFmtId="0" fontId="7" fillId="0" borderId="0" xfId="13" applyFont="1"/>
    <xf numFmtId="0" fontId="32" fillId="0" borderId="0" xfId="13" applyFont="1"/>
    <xf numFmtId="0" fontId="33" fillId="0" borderId="0" xfId="13" applyFont="1"/>
    <xf numFmtId="0" fontId="8" fillId="0" borderId="0" xfId="13" applyFont="1"/>
    <xf numFmtId="0" fontId="34" fillId="0" borderId="0" xfId="13" applyFont="1"/>
    <xf numFmtId="0" fontId="8" fillId="0" borderId="0" xfId="15" applyAlignment="1">
      <alignment vertical="center"/>
    </xf>
    <xf numFmtId="0" fontId="16" fillId="0" borderId="0" xfId="15" applyFont="1"/>
    <xf numFmtId="2" fontId="16" fillId="0" borderId="0" xfId="15" applyNumberFormat="1" applyFont="1" applyAlignment="1">
      <alignment horizontal="centerContinuous" vertical="center"/>
    </xf>
    <xf numFmtId="0" fontId="13" fillId="0" borderId="0" xfId="15" applyFont="1" applyAlignment="1">
      <alignment horizontal="centerContinuous" vertical="center"/>
    </xf>
    <xf numFmtId="0" fontId="18" fillId="0" borderId="0" xfId="15" applyFont="1" applyAlignment="1">
      <alignment horizontal="centerContinuous" vertical="center"/>
    </xf>
    <xf numFmtId="2" fontId="18" fillId="0" borderId="0" xfId="15" applyNumberFormat="1" applyFont="1" applyAlignment="1">
      <alignment horizontal="centerContinuous" vertical="center"/>
    </xf>
    <xf numFmtId="0" fontId="13" fillId="0" borderId="0" xfId="15" applyFont="1"/>
    <xf numFmtId="0" fontId="18" fillId="0" borderId="0" xfId="15" applyFont="1"/>
    <xf numFmtId="1" fontId="13" fillId="0" borderId="0" xfId="15" applyNumberFormat="1" applyFont="1"/>
    <xf numFmtId="2" fontId="13" fillId="0" borderId="0" xfId="15" applyNumberFormat="1" applyFont="1"/>
    <xf numFmtId="0" fontId="19" fillId="0" borderId="0" xfId="15" applyFont="1"/>
    <xf numFmtId="2" fontId="16" fillId="0" borderId="0" xfId="15" applyNumberFormat="1" applyFont="1" applyBorder="1" applyAlignment="1">
      <alignment horizontal="center" vertical="center" wrapText="1"/>
    </xf>
    <xf numFmtId="2" fontId="16" fillId="0" borderId="0" xfId="15" applyNumberFormat="1" applyFont="1" applyBorder="1"/>
    <xf numFmtId="170" fontId="16" fillId="0" borderId="0" xfId="15" applyNumberFormat="1" applyFont="1" applyBorder="1" applyAlignment="1">
      <alignment vertical="center"/>
    </xf>
    <xf numFmtId="0" fontId="19" fillId="0" borderId="0" xfId="15" applyFont="1" applyAlignment="1">
      <alignment vertical="center"/>
    </xf>
    <xf numFmtId="170" fontId="16" fillId="0" borderId="0" xfId="15" applyNumberFormat="1" applyFont="1" applyFill="1" applyBorder="1" applyAlignment="1">
      <alignment vertical="center"/>
    </xf>
    <xf numFmtId="0" fontId="24" fillId="0" borderId="0" xfId="15" applyFont="1" applyAlignment="1">
      <alignment vertical="center"/>
    </xf>
    <xf numFmtId="170" fontId="20" fillId="0" borderId="0" xfId="15" applyNumberFormat="1" applyFont="1" applyBorder="1" applyAlignment="1">
      <alignment vertical="center"/>
    </xf>
    <xf numFmtId="0" fontId="24" fillId="0" borderId="0" xfId="15" applyFont="1"/>
    <xf numFmtId="1" fontId="11" fillId="0" borderId="0" xfId="15" applyNumberFormat="1" applyFont="1"/>
    <xf numFmtId="0" fontId="8" fillId="0" borderId="0" xfId="15"/>
    <xf numFmtId="2" fontId="11" fillId="0" borderId="0" xfId="15" applyNumberFormat="1" applyFont="1"/>
    <xf numFmtId="1" fontId="13" fillId="0" borderId="0" xfId="15" applyNumberFormat="1" applyFont="1" applyAlignment="1">
      <alignment horizontal="center"/>
    </xf>
    <xf numFmtId="1" fontId="11" fillId="0" borderId="0" xfId="15" applyNumberFormat="1" applyFont="1" applyAlignment="1">
      <alignment horizontal="center"/>
    </xf>
    <xf numFmtId="168" fontId="14" fillId="0" borderId="0" xfId="0" applyNumberFormat="1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8" fillId="0" borderId="0" xfId="13" applyFont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13" applyFont="1" applyAlignment="1">
      <alignment vertical="center"/>
    </xf>
    <xf numFmtId="0" fontId="17" fillId="0" borderId="0" xfId="13" applyFont="1" applyBorder="1" applyAlignment="1">
      <alignment vertical="center"/>
    </xf>
    <xf numFmtId="0" fontId="22" fillId="0" borderId="0" xfId="13" applyFont="1" applyAlignment="1">
      <alignment vertical="center"/>
    </xf>
    <xf numFmtId="178" fontId="17" fillId="0" borderId="0" xfId="13" applyNumberFormat="1" applyFont="1" applyBorder="1" applyAlignment="1">
      <alignment vertical="center"/>
    </xf>
    <xf numFmtId="178" fontId="17" fillId="0" borderId="0" xfId="13" applyNumberFormat="1" applyFont="1" applyAlignment="1">
      <alignment vertical="center"/>
    </xf>
    <xf numFmtId="0" fontId="38" fillId="0" borderId="0" xfId="0" applyFont="1"/>
    <xf numFmtId="0" fontId="36" fillId="0" borderId="0" xfId="0" applyFont="1"/>
    <xf numFmtId="0" fontId="11" fillId="0" borderId="0" xfId="12" applyFont="1"/>
    <xf numFmtId="0" fontId="11" fillId="0" borderId="0" xfId="12" applyFont="1" applyAlignment="1">
      <alignment horizontal="center"/>
    </xf>
    <xf numFmtId="0" fontId="36" fillId="0" borderId="0" xfId="0" applyFont="1" applyFill="1" applyBorder="1"/>
    <xf numFmtId="168" fontId="20" fillId="0" borderId="0" xfId="0" applyNumberFormat="1" applyFont="1" applyAlignment="1">
      <alignment vertical="center"/>
    </xf>
    <xf numFmtId="1" fontId="16" fillId="0" borderId="0" xfId="15" applyNumberFormat="1" applyFont="1" applyAlignment="1">
      <alignment vertical="center"/>
    </xf>
    <xf numFmtId="1" fontId="18" fillId="0" borderId="4" xfId="15" applyNumberFormat="1" applyFont="1" applyBorder="1" applyAlignment="1">
      <alignment vertical="center"/>
    </xf>
    <xf numFmtId="1" fontId="18" fillId="0" borderId="6" xfId="15" applyNumberFormat="1" applyFont="1" applyBorder="1" applyAlignment="1">
      <alignment vertical="center"/>
    </xf>
    <xf numFmtId="1" fontId="18" fillId="0" borderId="6" xfId="15" applyNumberFormat="1" applyFont="1" applyBorder="1" applyAlignment="1">
      <alignment horizontal="left" vertical="center" wrapText="1"/>
    </xf>
    <xf numFmtId="1" fontId="18" fillId="0" borderId="7" xfId="15" applyNumberFormat="1" applyFont="1" applyBorder="1" applyAlignment="1">
      <alignment horizontal="left" vertical="center" wrapText="1"/>
    </xf>
    <xf numFmtId="1" fontId="18" fillId="0" borderId="8" xfId="15" applyNumberFormat="1" applyFont="1" applyBorder="1" applyAlignment="1">
      <alignment horizontal="center" vertical="center"/>
    </xf>
    <xf numFmtId="1" fontId="13" fillId="0" borderId="7" xfId="15" applyNumberFormat="1" applyFont="1" applyBorder="1" applyAlignment="1">
      <alignment horizontal="center" vertical="center"/>
    </xf>
    <xf numFmtId="1" fontId="18" fillId="0" borderId="9" xfId="15" applyNumberFormat="1" applyFont="1" applyBorder="1" applyAlignment="1">
      <alignment horizontal="center" vertical="center" wrapText="1"/>
    </xf>
    <xf numFmtId="1" fontId="41" fillId="0" borderId="10" xfId="15" applyNumberFormat="1" applyFont="1" applyBorder="1" applyAlignment="1">
      <alignment horizontal="center" vertical="center" wrapText="1"/>
    </xf>
    <xf numFmtId="1" fontId="18" fillId="0" borderId="9" xfId="15" applyNumberFormat="1" applyFont="1" applyBorder="1" applyAlignment="1">
      <alignment horizontal="left" vertical="center" wrapText="1"/>
    </xf>
    <xf numFmtId="1" fontId="18" fillId="0" borderId="11" xfId="15" applyNumberFormat="1" applyFont="1" applyBorder="1" applyAlignment="1">
      <alignment horizontal="center" vertical="center"/>
    </xf>
    <xf numFmtId="1" fontId="13" fillId="0" borderId="12" xfId="15" applyNumberFormat="1" applyFont="1" applyBorder="1" applyAlignment="1">
      <alignment horizontal="center" vertical="center"/>
    </xf>
    <xf numFmtId="0" fontId="18" fillId="0" borderId="13" xfId="15" applyFont="1" applyBorder="1" applyAlignment="1">
      <alignment horizontal="center" vertical="center" wrapText="1"/>
    </xf>
    <xf numFmtId="2" fontId="18" fillId="0" borderId="14" xfId="15" applyNumberFormat="1" applyFont="1" applyBorder="1" applyAlignment="1">
      <alignment vertical="center"/>
    </xf>
    <xf numFmtId="0" fontId="42" fillId="0" borderId="0" xfId="15" applyFont="1" applyFill="1" applyAlignment="1">
      <alignment horizontal="center" vertical="center"/>
    </xf>
    <xf numFmtId="1" fontId="28" fillId="0" borderId="0" xfId="0" applyNumberFormat="1" applyFont="1"/>
    <xf numFmtId="1" fontId="18" fillId="0" borderId="0" xfId="0" applyNumberFormat="1" applyFont="1" applyBorder="1" applyAlignment="1">
      <alignment horizontal="right" vertical="center"/>
    </xf>
    <xf numFmtId="172" fontId="18" fillId="0" borderId="0" xfId="0" applyNumberFormat="1" applyFont="1" applyBorder="1" applyAlignment="1">
      <alignment horizontal="center" vertical="center"/>
    </xf>
    <xf numFmtId="10" fontId="18" fillId="0" borderId="0" xfId="0" applyNumberFormat="1" applyFont="1" applyBorder="1" applyAlignment="1">
      <alignment horizontal="center" vertical="center"/>
    </xf>
    <xf numFmtId="1" fontId="18" fillId="0" borderId="15" xfId="0" applyNumberFormat="1" applyFont="1" applyBorder="1" applyAlignment="1">
      <alignment horizontal="right" vertical="center"/>
    </xf>
    <xf numFmtId="1" fontId="18" fillId="0" borderId="4" xfId="0" applyNumberFormat="1" applyFont="1" applyBorder="1" applyAlignment="1">
      <alignment horizontal="right" vertical="center"/>
    </xf>
    <xf numFmtId="182" fontId="18" fillId="0" borderId="15" xfId="0" applyNumberFormat="1" applyFont="1" applyBorder="1" applyAlignment="1">
      <alignment horizontal="right" vertical="center"/>
    </xf>
    <xf numFmtId="182" fontId="18" fillId="0" borderId="16" xfId="0" applyNumberFormat="1" applyFont="1" applyBorder="1" applyAlignment="1">
      <alignment horizontal="right" vertical="center"/>
    </xf>
    <xf numFmtId="171" fontId="18" fillId="0" borderId="0" xfId="18" applyNumberFormat="1" applyFont="1" applyBorder="1" applyAlignment="1">
      <alignment horizontal="center" vertical="center"/>
    </xf>
    <xf numFmtId="0" fontId="16" fillId="0" borderId="0" xfId="0" applyFont="1" applyFill="1" applyAlignment="1">
      <alignment horizontal="centerContinuous" vertical="center"/>
    </xf>
    <xf numFmtId="0" fontId="0" fillId="0" borderId="0" xfId="0" applyFill="1" applyAlignment="1">
      <alignment horizontal="centerContinuous"/>
    </xf>
    <xf numFmtId="0" fontId="16" fillId="0" borderId="0" xfId="0" applyFont="1" applyFill="1" applyAlignment="1">
      <alignment horizontal="centerContinuous"/>
    </xf>
    <xf numFmtId="1" fontId="16" fillId="0" borderId="0" xfId="0" applyNumberFormat="1" applyFont="1" applyFill="1" applyAlignment="1">
      <alignment horizontal="centerContinuous"/>
    </xf>
    <xf numFmtId="182" fontId="18" fillId="0" borderId="17" xfId="0" applyNumberFormat="1" applyFont="1" applyBorder="1" applyAlignment="1">
      <alignment horizontal="right" vertical="center"/>
    </xf>
    <xf numFmtId="182" fontId="18" fillId="0" borderId="18" xfId="0" applyNumberFormat="1" applyFont="1" applyBorder="1" applyAlignment="1">
      <alignment horizontal="right" vertical="center"/>
    </xf>
    <xf numFmtId="1" fontId="13" fillId="0" borderId="5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left" vertical="center"/>
    </xf>
    <xf numFmtId="1" fontId="13" fillId="0" borderId="7" xfId="0" applyNumberFormat="1" applyFont="1" applyBorder="1" applyAlignment="1">
      <alignment horizontal="center" vertical="center"/>
    </xf>
    <xf numFmtId="1" fontId="18" fillId="0" borderId="7" xfId="0" applyNumberFormat="1" applyFont="1" applyBorder="1" applyAlignment="1">
      <alignment horizontal="left" vertical="center" wrapText="1"/>
    </xf>
    <xf numFmtId="1" fontId="13" fillId="0" borderId="19" xfId="0" applyNumberFormat="1" applyFont="1" applyBorder="1" applyAlignment="1">
      <alignment horizontal="center" vertical="center"/>
    </xf>
    <xf numFmtId="1" fontId="18" fillId="0" borderId="20" xfId="0" applyNumberFormat="1" applyFont="1" applyBorder="1" applyAlignment="1">
      <alignment horizontal="center" vertical="center" wrapText="1"/>
    </xf>
    <xf numFmtId="1" fontId="18" fillId="0" borderId="21" xfId="0" applyNumberFormat="1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1" fontId="18" fillId="0" borderId="8" xfId="0" applyNumberFormat="1" applyFont="1" applyBorder="1" applyAlignment="1">
      <alignment horizontal="center" vertical="center"/>
    </xf>
    <xf numFmtId="10" fontId="18" fillId="0" borderId="0" xfId="18" applyNumberFormat="1" applyFont="1" applyBorder="1" applyAlignment="1">
      <alignment vertical="center"/>
    </xf>
    <xf numFmtId="1" fontId="18" fillId="0" borderId="6" xfId="0" applyNumberFormat="1" applyFont="1" applyBorder="1" applyAlignment="1">
      <alignment vertical="center"/>
    </xf>
    <xf numFmtId="1" fontId="18" fillId="0" borderId="6" xfId="0" applyNumberFormat="1" applyFont="1" applyBorder="1" applyAlignment="1">
      <alignment horizontal="left" vertical="center" wrapText="1"/>
    </xf>
    <xf numFmtId="1" fontId="13" fillId="0" borderId="12" xfId="0" applyNumberFormat="1" applyFont="1" applyBorder="1" applyAlignment="1">
      <alignment horizontal="center" vertical="center"/>
    </xf>
    <xf numFmtId="0" fontId="43" fillId="0" borderId="0" xfId="0" applyFont="1" applyFill="1" applyAlignment="1">
      <alignment horizontal="centerContinuous" vertical="center"/>
    </xf>
    <xf numFmtId="1" fontId="16" fillId="0" borderId="0" xfId="0" applyNumberFormat="1" applyFont="1" applyFill="1" applyAlignment="1">
      <alignment horizontal="centerContinuous" vertical="center"/>
    </xf>
    <xf numFmtId="174" fontId="18" fillId="0" borderId="23" xfId="15" applyNumberFormat="1" applyFont="1" applyBorder="1" applyAlignment="1">
      <alignment vertical="center"/>
    </xf>
    <xf numFmtId="174" fontId="18" fillId="3" borderId="23" xfId="15" applyNumberFormat="1" applyFont="1" applyFill="1" applyBorder="1" applyAlignment="1">
      <alignment vertical="center"/>
    </xf>
    <xf numFmtId="174" fontId="18" fillId="3" borderId="16" xfId="15" applyNumberFormat="1" applyFont="1" applyFill="1" applyBorder="1" applyAlignment="1">
      <alignment vertical="center"/>
    </xf>
    <xf numFmtId="174" fontId="18" fillId="0" borderId="18" xfId="15" applyNumberFormat="1" applyFont="1" applyBorder="1" applyAlignment="1">
      <alignment vertical="center"/>
    </xf>
    <xf numFmtId="174" fontId="18" fillId="0" borderId="16" xfId="15" applyNumberFormat="1" applyFont="1" applyBorder="1" applyAlignment="1">
      <alignment vertical="center"/>
    </xf>
    <xf numFmtId="174" fontId="18" fillId="0" borderId="24" xfId="15" applyNumberFormat="1" applyFont="1" applyBorder="1" applyAlignment="1">
      <alignment vertical="center"/>
    </xf>
    <xf numFmtId="174" fontId="18" fillId="0" borderId="16" xfId="15" applyNumberFormat="1" applyFont="1" applyFill="1" applyBorder="1" applyAlignment="1">
      <alignment vertical="center"/>
    </xf>
    <xf numFmtId="174" fontId="18" fillId="0" borderId="24" xfId="15" applyNumberFormat="1" applyFont="1" applyFill="1" applyBorder="1" applyAlignment="1">
      <alignment vertical="center"/>
    </xf>
    <xf numFmtId="174" fontId="18" fillId="0" borderId="26" xfId="15" applyNumberFormat="1" applyFont="1" applyBorder="1" applyAlignment="1">
      <alignment vertical="center"/>
    </xf>
    <xf numFmtId="174" fontId="18" fillId="0" borderId="27" xfId="15" applyNumberFormat="1" applyFont="1" applyBorder="1" applyAlignment="1">
      <alignment vertical="center"/>
    </xf>
    <xf numFmtId="0" fontId="25" fillId="0" borderId="0" xfId="0" applyFont="1" applyAlignment="1">
      <alignment horizontal="left"/>
    </xf>
    <xf numFmtId="1" fontId="17" fillId="0" borderId="0" xfId="0" applyNumberFormat="1" applyFont="1" applyAlignment="1">
      <alignment vertical="center"/>
    </xf>
    <xf numFmtId="1" fontId="18" fillId="0" borderId="6" xfId="0" applyNumberFormat="1" applyFont="1" applyBorder="1" applyAlignment="1">
      <alignment vertical="center" wrapText="1"/>
    </xf>
    <xf numFmtId="1" fontId="45" fillId="0" borderId="29" xfId="0" applyNumberFormat="1" applyFont="1" applyBorder="1" applyAlignment="1">
      <alignment vertical="center"/>
    </xf>
    <xf numFmtId="164" fontId="45" fillId="0" borderId="29" xfId="0" applyNumberFormat="1" applyFont="1" applyBorder="1" applyAlignment="1">
      <alignment vertical="center"/>
    </xf>
    <xf numFmtId="1" fontId="45" fillId="0" borderId="29" xfId="0" applyNumberFormat="1" applyFont="1" applyBorder="1" applyAlignment="1">
      <alignment vertical="center" wrapText="1"/>
    </xf>
    <xf numFmtId="1" fontId="45" fillId="0" borderId="6" xfId="0" applyNumberFormat="1" applyFont="1" applyBorder="1" applyAlignment="1">
      <alignment horizontal="center" vertical="center"/>
    </xf>
    <xf numFmtId="1" fontId="17" fillId="0" borderId="29" xfId="0" applyNumberFormat="1" applyFont="1" applyBorder="1" applyAlignment="1">
      <alignment vertical="center"/>
    </xf>
    <xf numFmtId="0" fontId="16" fillId="0" borderId="0" xfId="0" applyFont="1" applyFill="1" applyBorder="1" applyAlignment="1">
      <alignment horizontal="centerContinuous"/>
    </xf>
    <xf numFmtId="1" fontId="16" fillId="0" borderId="0" xfId="0" applyNumberFormat="1" applyFont="1" applyFill="1" applyBorder="1" applyAlignment="1">
      <alignment horizontal="centerContinuous"/>
    </xf>
    <xf numFmtId="1" fontId="17" fillId="0" borderId="21" xfId="0" applyNumberFormat="1" applyFont="1" applyBorder="1" applyAlignment="1">
      <alignment horizontal="center" vertical="center" wrapText="1"/>
    </xf>
    <xf numFmtId="0" fontId="45" fillId="0" borderId="0" xfId="0" applyFont="1"/>
    <xf numFmtId="0" fontId="17" fillId="0" borderId="21" xfId="0" applyFont="1" applyBorder="1" applyAlignment="1">
      <alignment horizontal="center" textRotation="90"/>
    </xf>
    <xf numFmtId="0" fontId="17" fillId="0" borderId="21" xfId="0" applyFont="1" applyFill="1" applyBorder="1" applyAlignment="1">
      <alignment horizontal="center" textRotation="90"/>
    </xf>
    <xf numFmtId="0" fontId="17" fillId="0" borderId="28" xfId="0" applyFont="1" applyFill="1" applyBorder="1" applyAlignment="1">
      <alignment vertical="center"/>
    </xf>
    <xf numFmtId="0" fontId="17" fillId="0" borderId="24" xfId="0" applyFont="1" applyFill="1" applyBorder="1" applyAlignment="1">
      <alignment vertical="center"/>
    </xf>
    <xf numFmtId="0" fontId="17" fillId="4" borderId="24" xfId="0" applyFont="1" applyFill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17" fillId="0" borderId="22" xfId="0" applyFont="1" applyBorder="1" applyAlignment="1">
      <alignment horizontal="center" textRotation="90"/>
    </xf>
    <xf numFmtId="0" fontId="17" fillId="0" borderId="20" xfId="0" applyFont="1" applyBorder="1" applyAlignment="1">
      <alignment wrapText="1"/>
    </xf>
    <xf numFmtId="0" fontId="17" fillId="0" borderId="40" xfId="0" applyFont="1" applyBorder="1"/>
    <xf numFmtId="0" fontId="17" fillId="0" borderId="41" xfId="0" applyFont="1" applyBorder="1"/>
    <xf numFmtId="0" fontId="17" fillId="0" borderId="42" xfId="0" applyFont="1" applyBorder="1"/>
    <xf numFmtId="0" fontId="17" fillId="0" borderId="43" xfId="0" applyFont="1" applyBorder="1"/>
    <xf numFmtId="174" fontId="17" fillId="0" borderId="29" xfId="12" applyNumberFormat="1" applyFont="1" applyFill="1" applyBorder="1" applyAlignment="1">
      <alignment vertical="center"/>
    </xf>
    <xf numFmtId="174" fontId="17" fillId="0" borderId="24" xfId="12" applyNumberFormat="1" applyFont="1" applyFill="1" applyBorder="1" applyAlignment="1">
      <alignment vertical="center"/>
    </xf>
    <xf numFmtId="174" fontId="17" fillId="0" borderId="44" xfId="12" applyNumberFormat="1" applyFont="1" applyFill="1" applyBorder="1" applyAlignment="1">
      <alignment vertical="center"/>
    </xf>
    <xf numFmtId="174" fontId="17" fillId="0" borderId="28" xfId="12" applyNumberFormat="1" applyFont="1" applyFill="1" applyBorder="1" applyAlignment="1">
      <alignment vertical="center"/>
    </xf>
    <xf numFmtId="0" fontId="17" fillId="0" borderId="45" xfId="13" applyFont="1" applyBorder="1" applyAlignment="1">
      <alignment horizontal="center" vertical="center"/>
    </xf>
    <xf numFmtId="1" fontId="17" fillId="0" borderId="46" xfId="13" applyNumberFormat="1" applyFont="1" applyBorder="1" applyAlignment="1">
      <alignment vertical="center" wrapText="1"/>
    </xf>
    <xf numFmtId="174" fontId="17" fillId="0" borderId="47" xfId="12" applyNumberFormat="1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37" fillId="0" borderId="0" xfId="7" applyFont="1"/>
    <xf numFmtId="0" fontId="11" fillId="0" borderId="0" xfId="12" applyFont="1" applyAlignment="1">
      <alignment horizontal="center" vertical="center"/>
    </xf>
    <xf numFmtId="0" fontId="17" fillId="0" borderId="3" xfId="12" applyFont="1" applyBorder="1" applyAlignment="1">
      <alignment horizontal="center" vertical="center"/>
    </xf>
    <xf numFmtId="0" fontId="17" fillId="0" borderId="3" xfId="12" applyFont="1" applyBorder="1" applyAlignment="1">
      <alignment vertical="center"/>
    </xf>
    <xf numFmtId="178" fontId="17" fillId="0" borderId="29" xfId="12" applyNumberFormat="1" applyFont="1" applyBorder="1" applyAlignment="1">
      <alignment vertical="center"/>
    </xf>
    <xf numFmtId="178" fontId="17" fillId="0" borderId="24" xfId="12" applyNumberFormat="1" applyFont="1" applyBorder="1" applyAlignment="1">
      <alignment vertical="center"/>
    </xf>
    <xf numFmtId="178" fontId="17" fillId="0" borderId="18" xfId="12" applyNumberFormat="1" applyFont="1" applyBorder="1" applyAlignment="1">
      <alignment vertical="center"/>
    </xf>
    <xf numFmtId="178" fontId="17" fillId="0" borderId="44" xfId="12" applyNumberFormat="1" applyFont="1" applyBorder="1" applyAlignment="1">
      <alignment vertical="center"/>
    </xf>
    <xf numFmtId="178" fontId="17" fillId="5" borderId="3" xfId="12" applyNumberFormat="1" applyFont="1" applyFill="1" applyBorder="1" applyAlignment="1">
      <alignment vertical="center"/>
    </xf>
    <xf numFmtId="0" fontId="17" fillId="0" borderId="13" xfId="12" applyFont="1" applyBorder="1" applyAlignment="1">
      <alignment horizontal="center" vertical="center"/>
    </xf>
    <xf numFmtId="0" fontId="17" fillId="0" borderId="30" xfId="12" applyFont="1" applyBorder="1" applyAlignment="1">
      <alignment horizontal="center" vertical="center"/>
    </xf>
    <xf numFmtId="178" fontId="17" fillId="0" borderId="28" xfId="12" applyNumberFormat="1" applyFont="1" applyBorder="1" applyAlignment="1">
      <alignment vertical="center"/>
    </xf>
    <xf numFmtId="0" fontId="17" fillId="0" borderId="9" xfId="12" applyFont="1" applyBorder="1" applyAlignment="1">
      <alignment horizontal="center" vertical="center"/>
    </xf>
    <xf numFmtId="0" fontId="17" fillId="0" borderId="10" xfId="12" applyFont="1" applyBorder="1" applyAlignment="1">
      <alignment horizontal="center" vertical="center"/>
    </xf>
    <xf numFmtId="0" fontId="17" fillId="5" borderId="51" xfId="12" applyFont="1" applyFill="1" applyBorder="1" applyAlignment="1">
      <alignment horizontal="center" vertical="center"/>
    </xf>
    <xf numFmtId="0" fontId="17" fillId="0" borderId="6" xfId="12" applyFont="1" applyBorder="1" applyAlignment="1">
      <alignment horizontal="center" vertical="center"/>
    </xf>
    <xf numFmtId="0" fontId="11" fillId="4" borderId="12" xfId="12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/>
    </xf>
    <xf numFmtId="1" fontId="18" fillId="0" borderId="0" xfId="0" applyNumberFormat="1" applyFont="1" applyBorder="1" applyAlignment="1">
      <alignment vertical="top" wrapText="1"/>
    </xf>
    <xf numFmtId="1" fontId="17" fillId="0" borderId="29" xfId="13" applyNumberFormat="1" applyFont="1" applyBorder="1" applyAlignment="1">
      <alignment vertical="center" wrapText="1"/>
    </xf>
    <xf numFmtId="178" fontId="17" fillId="0" borderId="28" xfId="13" applyNumberFormat="1" applyFont="1" applyBorder="1" applyAlignment="1">
      <alignment vertical="center"/>
    </xf>
    <xf numFmtId="178" fontId="17" fillId="0" borderId="28" xfId="13" applyNumberFormat="1" applyFont="1" applyFill="1" applyBorder="1" applyAlignment="1">
      <alignment vertical="center"/>
    </xf>
    <xf numFmtId="178" fontId="17" fillId="0" borderId="24" xfId="13" applyNumberFormat="1" applyFont="1" applyBorder="1" applyAlignment="1">
      <alignment vertical="center"/>
    </xf>
    <xf numFmtId="178" fontId="17" fillId="0" borderId="24" xfId="13" applyNumberFormat="1" applyFont="1" applyFill="1" applyBorder="1" applyAlignment="1">
      <alignment vertical="center"/>
    </xf>
    <xf numFmtId="1" fontId="17" fillId="0" borderId="17" xfId="13" applyNumberFormat="1" applyFont="1" applyBorder="1" applyAlignment="1">
      <alignment vertical="center" wrapText="1"/>
    </xf>
    <xf numFmtId="1" fontId="17" fillId="0" borderId="3" xfId="13" applyNumberFormat="1" applyFont="1" applyBorder="1" applyAlignment="1">
      <alignment horizontal="center" vertical="center" wrapText="1"/>
    </xf>
    <xf numFmtId="0" fontId="17" fillId="0" borderId="0" xfId="13" applyFont="1" applyBorder="1" applyAlignment="1">
      <alignment horizontal="center" vertical="center"/>
    </xf>
    <xf numFmtId="1" fontId="17" fillId="0" borderId="0" xfId="13" applyNumberFormat="1" applyFont="1" applyBorder="1" applyAlignment="1">
      <alignment vertical="center" wrapText="1"/>
    </xf>
    <xf numFmtId="1" fontId="17" fillId="0" borderId="24" xfId="13" applyNumberFormat="1" applyFont="1" applyBorder="1" applyAlignment="1">
      <alignment vertical="center" wrapText="1"/>
    </xf>
    <xf numFmtId="0" fontId="45" fillId="0" borderId="0" xfId="13" applyFont="1"/>
    <xf numFmtId="0" fontId="29" fillId="0" borderId="0" xfId="13" applyFont="1" applyAlignment="1">
      <alignment horizontal="center" vertical="center"/>
    </xf>
    <xf numFmtId="1" fontId="17" fillId="0" borderId="13" xfId="13" applyNumberFormat="1" applyFont="1" applyBorder="1" applyAlignment="1">
      <alignment horizontal="center" vertical="center" wrapText="1"/>
    </xf>
    <xf numFmtId="0" fontId="17" fillId="0" borderId="30" xfId="13" applyFont="1" applyBorder="1" applyAlignment="1">
      <alignment horizontal="center" vertical="center"/>
    </xf>
    <xf numFmtId="1" fontId="17" fillId="0" borderId="28" xfId="13" applyNumberFormat="1" applyFont="1" applyBorder="1" applyAlignment="1">
      <alignment vertical="center" wrapText="1"/>
    </xf>
    <xf numFmtId="0" fontId="17" fillId="0" borderId="6" xfId="13" applyFont="1" applyBorder="1" applyAlignment="1">
      <alignment horizontal="center" vertical="center"/>
    </xf>
    <xf numFmtId="0" fontId="17" fillId="0" borderId="7" xfId="13" applyFont="1" applyBorder="1" applyAlignment="1">
      <alignment horizontal="center" vertical="center"/>
    </xf>
    <xf numFmtId="0" fontId="17" fillId="0" borderId="9" xfId="13" applyFont="1" applyBorder="1" applyAlignment="1">
      <alignment horizontal="center" vertical="center"/>
    </xf>
    <xf numFmtId="1" fontId="17" fillId="0" borderId="47" xfId="13" applyNumberFormat="1" applyFont="1" applyBorder="1" applyAlignment="1">
      <alignment vertical="center" wrapText="1"/>
    </xf>
    <xf numFmtId="178" fontId="17" fillId="0" borderId="47" xfId="13" applyNumberFormat="1" applyFont="1" applyBorder="1" applyAlignment="1">
      <alignment vertical="center"/>
    </xf>
    <xf numFmtId="0" fontId="16" fillId="0" borderId="0" xfId="13" applyFont="1" applyAlignment="1">
      <alignment horizontal="center" vertical="center"/>
    </xf>
    <xf numFmtId="0" fontId="17" fillId="0" borderId="56" xfId="14" applyFont="1" applyBorder="1" applyAlignment="1">
      <alignment wrapText="1"/>
    </xf>
    <xf numFmtId="0" fontId="45" fillId="0" borderId="21" xfId="14" applyFont="1" applyBorder="1" applyAlignment="1">
      <alignment horizontal="center" textRotation="90"/>
    </xf>
    <xf numFmtId="0" fontId="45" fillId="0" borderId="21" xfId="14" applyFont="1" applyFill="1" applyBorder="1" applyAlignment="1">
      <alignment horizontal="center" textRotation="90"/>
    </xf>
    <xf numFmtId="0" fontId="45" fillId="0" borderId="22" xfId="14" applyFont="1" applyBorder="1" applyAlignment="1">
      <alignment horizontal="center" textRotation="90"/>
    </xf>
    <xf numFmtId="0" fontId="6" fillId="0" borderId="0" xfId="13" applyFont="1"/>
    <xf numFmtId="178" fontId="17" fillId="0" borderId="29" xfId="13" applyNumberFormat="1" applyFont="1" applyBorder="1" applyAlignment="1">
      <alignment vertical="center"/>
    </xf>
    <xf numFmtId="0" fontId="17" fillId="0" borderId="0" xfId="13" applyFont="1" applyAlignment="1">
      <alignment horizontal="right"/>
    </xf>
    <xf numFmtId="0" fontId="17" fillId="0" borderId="0" xfId="13" applyFont="1"/>
    <xf numFmtId="171" fontId="17" fillId="0" borderId="0" xfId="18" applyNumberFormat="1" applyFont="1" applyBorder="1" applyAlignment="1">
      <alignment vertical="center"/>
    </xf>
    <xf numFmtId="174" fontId="17" fillId="0" borderId="0" xfId="12" applyNumberFormat="1" applyFont="1" applyFill="1" applyBorder="1" applyAlignment="1">
      <alignment vertical="center"/>
    </xf>
    <xf numFmtId="174" fontId="0" fillId="0" borderId="0" xfId="0" applyNumberFormat="1"/>
    <xf numFmtId="0" fontId="17" fillId="4" borderId="58" xfId="0" applyFont="1" applyFill="1" applyBorder="1" applyAlignment="1">
      <alignment horizontal="center" vertical="center"/>
    </xf>
    <xf numFmtId="0" fontId="17" fillId="4" borderId="59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7" fillId="4" borderId="26" xfId="0" applyFont="1" applyFill="1" applyBorder="1" applyAlignment="1">
      <alignment horizontal="center" vertical="center"/>
    </xf>
    <xf numFmtId="0" fontId="11" fillId="4" borderId="60" xfId="0" applyFont="1" applyFill="1" applyBorder="1" applyAlignment="1">
      <alignment horizontal="center" vertical="center"/>
    </xf>
    <xf numFmtId="0" fontId="17" fillId="0" borderId="61" xfId="0" applyFont="1" applyBorder="1" applyAlignment="1">
      <alignment vertical="center"/>
    </xf>
    <xf numFmtId="0" fontId="17" fillId="0" borderId="62" xfId="0" applyFont="1" applyBorder="1" applyAlignment="1">
      <alignment vertical="center"/>
    </xf>
    <xf numFmtId="0" fontId="17" fillId="0" borderId="62" xfId="0" applyFont="1" applyFill="1" applyBorder="1" applyAlignment="1">
      <alignment vertical="center"/>
    </xf>
    <xf numFmtId="0" fontId="17" fillId="0" borderId="63" xfId="0" applyFont="1" applyBorder="1" applyAlignment="1">
      <alignment vertical="center"/>
    </xf>
    <xf numFmtId="178" fontId="17" fillId="0" borderId="15" xfId="13" applyNumberFormat="1" applyFont="1" applyFill="1" applyBorder="1" applyAlignment="1">
      <alignment vertical="center"/>
    </xf>
    <xf numFmtId="1" fontId="45" fillId="0" borderId="28" xfId="16" applyNumberFormat="1" applyFont="1" applyBorder="1" applyAlignment="1">
      <alignment vertical="center"/>
    </xf>
    <xf numFmtId="164" fontId="45" fillId="0" borderId="28" xfId="16" applyNumberFormat="1" applyFont="1" applyBorder="1" applyAlignment="1">
      <alignment vertical="center"/>
    </xf>
    <xf numFmtId="1" fontId="45" fillId="0" borderId="29" xfId="16" applyNumberFormat="1" applyFont="1" applyBorder="1" applyAlignment="1">
      <alignment vertical="center"/>
    </xf>
    <xf numFmtId="164" fontId="45" fillId="0" borderId="29" xfId="16" applyNumberFormat="1" applyFont="1" applyBorder="1" applyAlignment="1">
      <alignment vertical="center"/>
    </xf>
    <xf numFmtId="164" fontId="45" fillId="0" borderId="29" xfId="16" applyNumberFormat="1" applyFont="1" applyFill="1" applyBorder="1" applyAlignment="1">
      <alignment vertical="center"/>
    </xf>
    <xf numFmtId="166" fontId="10" fillId="0" borderId="0" xfId="16" applyNumberFormat="1" applyFont="1" applyAlignment="1">
      <alignment vertical="center"/>
    </xf>
    <xf numFmtId="1" fontId="45" fillId="0" borderId="30" xfId="16" applyNumberFormat="1" applyFont="1" applyBorder="1" applyAlignment="1">
      <alignment horizontal="center" vertical="center"/>
    </xf>
    <xf numFmtId="1" fontId="45" fillId="0" borderId="6" xfId="16" applyNumberFormat="1" applyFont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/>
    </xf>
    <xf numFmtId="17" fontId="30" fillId="0" borderId="0" xfId="9" applyNumberFormat="1" applyFont="1" applyAlignment="1">
      <alignment wrapText="1"/>
    </xf>
    <xf numFmtId="0" fontId="30" fillId="0" borderId="0" xfId="9"/>
    <xf numFmtId="0" fontId="30" fillId="0" borderId="0" xfId="9" applyFont="1" applyAlignment="1">
      <alignment wrapText="1"/>
    </xf>
    <xf numFmtId="0" fontId="17" fillId="0" borderId="0" xfId="9" applyFont="1" applyAlignment="1">
      <alignment wrapText="1"/>
    </xf>
    <xf numFmtId="0" fontId="30" fillId="0" borderId="0" xfId="9" applyAlignment="1">
      <alignment horizontal="centerContinuous" vertical="center"/>
    </xf>
    <xf numFmtId="0" fontId="13" fillId="0" borderId="0" xfId="9" quotePrefix="1" applyFont="1" applyAlignment="1">
      <alignment horizontal="right"/>
    </xf>
    <xf numFmtId="0" fontId="30" fillId="0" borderId="0" xfId="9" applyFont="1" applyAlignment="1">
      <alignment horizontal="left"/>
    </xf>
    <xf numFmtId="0" fontId="30" fillId="0" borderId="0" xfId="9" applyFont="1" applyAlignment="1">
      <alignment horizontal="left" vertical="center"/>
    </xf>
    <xf numFmtId="0" fontId="30" fillId="0" borderId="0" xfId="9" applyFont="1" applyAlignment="1"/>
    <xf numFmtId="0" fontId="30" fillId="0" borderId="0" xfId="9" applyAlignment="1"/>
    <xf numFmtId="0" fontId="30" fillId="0" borderId="0" xfId="9" applyAlignment="1">
      <alignment wrapText="1"/>
    </xf>
    <xf numFmtId="0" fontId="31" fillId="0" borderId="0" xfId="9" applyFont="1"/>
    <xf numFmtId="17" fontId="30" fillId="0" borderId="0" xfId="9" quotePrefix="1" applyNumberFormat="1" applyFont="1" applyAlignment="1">
      <alignment horizontal="right"/>
    </xf>
    <xf numFmtId="1" fontId="18" fillId="0" borderId="51" xfId="15" applyNumberFormat="1" applyFont="1" applyBorder="1" applyAlignment="1">
      <alignment horizontal="center" vertical="center" wrapText="1"/>
    </xf>
    <xf numFmtId="1" fontId="18" fillId="0" borderId="31" xfId="15" applyNumberFormat="1" applyFont="1" applyBorder="1" applyAlignment="1">
      <alignment vertical="center"/>
    </xf>
    <xf numFmtId="1" fontId="18" fillId="0" borderId="14" xfId="15" applyNumberFormat="1" applyFont="1" applyBorder="1" applyAlignment="1">
      <alignment horizontal="center" vertical="center"/>
    </xf>
    <xf numFmtId="1" fontId="18" fillId="0" borderId="65" xfId="15" applyNumberFormat="1" applyFont="1" applyBorder="1" applyAlignment="1">
      <alignment horizontal="center" vertical="center"/>
    </xf>
    <xf numFmtId="174" fontId="18" fillId="0" borderId="6" xfId="15" applyNumberFormat="1" applyFont="1" applyBorder="1" applyAlignment="1">
      <alignment vertical="center"/>
    </xf>
    <xf numFmtId="174" fontId="18" fillId="0" borderId="34" xfId="15" applyNumberFormat="1" applyFont="1" applyBorder="1" applyAlignment="1">
      <alignment vertical="center"/>
    </xf>
    <xf numFmtId="174" fontId="18" fillId="0" borderId="66" xfId="15" applyNumberFormat="1" applyFont="1" applyBorder="1" applyAlignment="1">
      <alignment vertical="center"/>
    </xf>
    <xf numFmtId="174" fontId="18" fillId="3" borderId="67" xfId="15" applyNumberFormat="1" applyFont="1" applyFill="1" applyBorder="1" applyAlignment="1">
      <alignment vertical="center"/>
    </xf>
    <xf numFmtId="174" fontId="18" fillId="0" borderId="35" xfId="15" applyNumberFormat="1" applyFont="1" applyBorder="1" applyAlignment="1">
      <alignment vertical="center"/>
    </xf>
    <xf numFmtId="174" fontId="18" fillId="0" borderId="68" xfId="15" applyNumberFormat="1" applyFont="1" applyBorder="1" applyAlignment="1">
      <alignment vertical="center"/>
    </xf>
    <xf numFmtId="174" fontId="18" fillId="0" borderId="9" xfId="15" applyNumberFormat="1" applyFont="1" applyBorder="1" applyAlignment="1">
      <alignment vertical="center"/>
    </xf>
    <xf numFmtId="174" fontId="18" fillId="0" borderId="8" xfId="15" applyNumberFormat="1" applyFont="1" applyBorder="1" applyAlignment="1">
      <alignment vertical="center"/>
    </xf>
    <xf numFmtId="174" fontId="18" fillId="0" borderId="69" xfId="15" applyNumberFormat="1" applyFont="1" applyBorder="1" applyAlignment="1">
      <alignment vertical="center"/>
    </xf>
    <xf numFmtId="174" fontId="18" fillId="0" borderId="70" xfId="15" applyNumberFormat="1" applyFont="1" applyBorder="1" applyAlignment="1">
      <alignment vertical="center"/>
    </xf>
    <xf numFmtId="174" fontId="18" fillId="0" borderId="7" xfId="15" applyNumberFormat="1" applyFont="1" applyBorder="1" applyAlignment="1">
      <alignment vertical="center"/>
    </xf>
    <xf numFmtId="174" fontId="18" fillId="0" borderId="72" xfId="15" applyNumberFormat="1" applyFont="1" applyBorder="1" applyAlignment="1">
      <alignment vertical="center"/>
    </xf>
    <xf numFmtId="174" fontId="18" fillId="0" borderId="0" xfId="15" applyNumberFormat="1" applyFont="1" applyBorder="1" applyAlignment="1">
      <alignment vertical="center"/>
    </xf>
    <xf numFmtId="174" fontId="18" fillId="0" borderId="34" xfId="15" applyNumberFormat="1" applyFont="1" applyFill="1" applyBorder="1" applyAlignment="1">
      <alignment vertical="center"/>
    </xf>
    <xf numFmtId="174" fontId="18" fillId="0" borderId="66" xfId="15" applyNumberFormat="1" applyFont="1" applyFill="1" applyBorder="1" applyAlignment="1">
      <alignment vertical="center"/>
    </xf>
    <xf numFmtId="174" fontId="18" fillId="0" borderId="7" xfId="15" applyNumberFormat="1" applyFont="1" applyFill="1" applyBorder="1" applyAlignment="1">
      <alignment vertical="center"/>
    </xf>
    <xf numFmtId="174" fontId="18" fillId="0" borderId="72" xfId="15" applyNumberFormat="1" applyFont="1" applyFill="1" applyBorder="1" applyAlignment="1">
      <alignment vertical="center"/>
    </xf>
    <xf numFmtId="174" fontId="18" fillId="0" borderId="0" xfId="15" applyNumberFormat="1" applyFont="1" applyFill="1" applyBorder="1" applyAlignment="1">
      <alignment vertical="center"/>
    </xf>
    <xf numFmtId="174" fontId="18" fillId="0" borderId="9" xfId="15" applyNumberFormat="1" applyFont="1" applyFill="1" applyBorder="1" applyAlignment="1">
      <alignment vertical="center"/>
    </xf>
    <xf numFmtId="174" fontId="18" fillId="0" borderId="67" xfId="15" applyNumberFormat="1" applyFont="1" applyFill="1" applyBorder="1" applyAlignment="1">
      <alignment vertical="center"/>
    </xf>
    <xf numFmtId="174" fontId="18" fillId="3" borderId="35" xfId="15" applyNumberFormat="1" applyFont="1" applyFill="1" applyBorder="1" applyAlignment="1">
      <alignment vertical="center"/>
    </xf>
    <xf numFmtId="174" fontId="18" fillId="0" borderId="68" xfId="15" applyNumberFormat="1" applyFont="1" applyFill="1" applyBorder="1" applyAlignment="1">
      <alignment vertical="center"/>
    </xf>
    <xf numFmtId="174" fontId="18" fillId="0" borderId="35" xfId="15" applyNumberFormat="1" applyFont="1" applyFill="1" applyBorder="1" applyAlignment="1">
      <alignment vertical="center"/>
    </xf>
    <xf numFmtId="174" fontId="18" fillId="0" borderId="6" xfId="15" applyNumberFormat="1" applyFont="1" applyFill="1" applyBorder="1" applyAlignment="1">
      <alignment vertical="center"/>
    </xf>
    <xf numFmtId="174" fontId="18" fillId="0" borderId="11" xfId="15" applyNumberFormat="1" applyFont="1" applyBorder="1" applyAlignment="1">
      <alignment vertical="center"/>
    </xf>
    <xf numFmtId="174" fontId="18" fillId="0" borderId="73" xfId="15" applyNumberFormat="1" applyFont="1" applyBorder="1" applyAlignment="1">
      <alignment vertical="center"/>
    </xf>
    <xf numFmtId="174" fontId="18" fillId="0" borderId="74" xfId="15" applyNumberFormat="1" applyFont="1" applyBorder="1" applyAlignment="1">
      <alignment vertical="center"/>
    </xf>
    <xf numFmtId="174" fontId="18" fillId="0" borderId="12" xfId="15" applyNumberFormat="1" applyFont="1" applyBorder="1" applyAlignment="1">
      <alignment vertical="center"/>
    </xf>
    <xf numFmtId="174" fontId="18" fillId="0" borderId="57" xfId="15" applyNumberFormat="1" applyFont="1" applyBorder="1" applyAlignment="1">
      <alignment vertical="center"/>
    </xf>
    <xf numFmtId="174" fontId="18" fillId="0" borderId="75" xfId="15" applyNumberFormat="1" applyFont="1" applyBorder="1" applyAlignment="1">
      <alignment vertical="center"/>
    </xf>
    <xf numFmtId="0" fontId="17" fillId="4" borderId="2" xfId="0" applyFont="1" applyFill="1" applyBorder="1" applyAlignment="1">
      <alignment horizontal="center" vertical="center"/>
    </xf>
    <xf numFmtId="0" fontId="13" fillId="0" borderId="0" xfId="9" applyFont="1" applyBorder="1" applyAlignment="1">
      <alignment horizontal="center" vertical="top" wrapText="1"/>
    </xf>
    <xf numFmtId="0" fontId="13" fillId="0" borderId="0" xfId="9" applyFont="1" applyBorder="1" applyAlignment="1">
      <alignment wrapText="1"/>
    </xf>
    <xf numFmtId="0" fontId="30" fillId="0" borderId="0" xfId="9" applyFont="1" applyAlignment="1">
      <alignment vertical="center"/>
    </xf>
    <xf numFmtId="0" fontId="30" fillId="0" borderId="0" xfId="9" applyAlignment="1">
      <alignment vertical="center"/>
    </xf>
    <xf numFmtId="169" fontId="11" fillId="0" borderId="0" xfId="0" applyNumberFormat="1" applyFont="1" applyFill="1" applyAlignment="1">
      <alignment horizontal="left" vertical="center"/>
    </xf>
    <xf numFmtId="0" fontId="18" fillId="0" borderId="0" xfId="0" applyFont="1" applyFill="1" applyAlignment="1">
      <alignment vertical="center"/>
    </xf>
    <xf numFmtId="0" fontId="39" fillId="0" borderId="0" xfId="0" applyFont="1" applyFill="1" applyAlignment="1">
      <alignment horizontal="center" vertical="center"/>
    </xf>
    <xf numFmtId="0" fontId="39" fillId="0" borderId="0" xfId="0" applyFont="1" applyFill="1" applyAlignment="1">
      <alignment vertical="center"/>
    </xf>
    <xf numFmtId="0" fontId="11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169" fontId="11" fillId="6" borderId="28" xfId="0" applyNumberFormat="1" applyFont="1" applyFill="1" applyBorder="1" applyAlignment="1">
      <alignment horizontal="center" vertical="center"/>
    </xf>
    <xf numFmtId="0" fontId="14" fillId="0" borderId="28" xfId="5" applyFont="1" applyBorder="1" applyAlignment="1">
      <alignment vertical="center"/>
    </xf>
    <xf numFmtId="169" fontId="11" fillId="6" borderId="29" xfId="0" applyNumberFormat="1" applyFont="1" applyFill="1" applyBorder="1" applyAlignment="1">
      <alignment horizontal="center" vertical="center"/>
    </xf>
    <xf numFmtId="0" fontId="14" fillId="0" borderId="24" xfId="5" applyFont="1" applyBorder="1" applyAlignment="1">
      <alignment vertical="center"/>
    </xf>
    <xf numFmtId="169" fontId="11" fillId="6" borderId="26" xfId="0" applyNumberFormat="1" applyFont="1" applyFill="1" applyBorder="1" applyAlignment="1">
      <alignment horizontal="center" vertical="center"/>
    </xf>
    <xf numFmtId="0" fontId="14" fillId="0" borderId="44" xfId="5" applyFont="1" applyBorder="1" applyAlignment="1">
      <alignment vertical="center"/>
    </xf>
    <xf numFmtId="0" fontId="14" fillId="0" borderId="18" xfId="5" applyFont="1" applyBorder="1" applyAlignment="1">
      <alignment vertical="center"/>
    </xf>
    <xf numFmtId="169" fontId="11" fillId="7" borderId="28" xfId="0" applyNumberFormat="1" applyFont="1" applyFill="1" applyBorder="1" applyAlignment="1">
      <alignment horizontal="center" vertical="center"/>
    </xf>
    <xf numFmtId="0" fontId="14" fillId="0" borderId="15" xfId="5" applyFont="1" applyBorder="1" applyAlignment="1">
      <alignment vertical="center"/>
    </xf>
    <xf numFmtId="169" fontId="11" fillId="7" borderId="29" xfId="0" applyNumberFormat="1" applyFont="1" applyFill="1" applyBorder="1" applyAlignment="1">
      <alignment horizontal="center" vertical="center"/>
    </xf>
    <xf numFmtId="0" fontId="14" fillId="0" borderId="17" xfId="5" applyFont="1" applyBorder="1" applyAlignment="1">
      <alignment vertical="center"/>
    </xf>
    <xf numFmtId="169" fontId="11" fillId="7" borderId="26" xfId="0" applyNumberFormat="1" applyFont="1" applyFill="1" applyBorder="1" applyAlignment="1">
      <alignment horizontal="center" vertical="center"/>
    </xf>
    <xf numFmtId="0" fontId="14" fillId="0" borderId="0" xfId="5" applyFont="1" applyBorder="1" applyAlignment="1">
      <alignment horizontal="center" wrapText="1"/>
    </xf>
    <xf numFmtId="0" fontId="52" fillId="0" borderId="0" xfId="5" applyFont="1" applyBorder="1" applyAlignment="1">
      <alignment horizontal="center" wrapText="1"/>
    </xf>
    <xf numFmtId="0" fontId="52" fillId="0" borderId="24" xfId="5" applyFont="1" applyBorder="1" applyAlignment="1">
      <alignment horizontal="left" vertical="center" wrapText="1"/>
    </xf>
    <xf numFmtId="0" fontId="14" fillId="0" borderId="18" xfId="5" applyFont="1" applyBorder="1" applyAlignment="1">
      <alignment horizontal="left" vertical="center" wrapText="1"/>
    </xf>
    <xf numFmtId="0" fontId="14" fillId="0" borderId="24" xfId="5" applyFont="1" applyBorder="1" applyAlignment="1">
      <alignment wrapText="1"/>
    </xf>
    <xf numFmtId="169" fontId="11" fillId="7" borderId="17" xfId="0" applyNumberFormat="1" applyFont="1" applyFill="1" applyBorder="1" applyAlignment="1">
      <alignment horizontal="center" vertical="center"/>
    </xf>
    <xf numFmtId="169" fontId="11" fillId="7" borderId="15" xfId="0" applyNumberFormat="1" applyFont="1" applyFill="1" applyBorder="1" applyAlignment="1">
      <alignment horizontal="center" vertical="center"/>
    </xf>
    <xf numFmtId="169" fontId="11" fillId="7" borderId="24" xfId="0" applyNumberFormat="1" applyFont="1" applyFill="1" applyBorder="1" applyAlignment="1">
      <alignment horizontal="center" vertical="center"/>
    </xf>
    <xf numFmtId="0" fontId="14" fillId="0" borderId="24" xfId="5" applyFont="1" applyBorder="1" applyAlignment="1">
      <alignment horizontal="left" vertical="center" wrapText="1"/>
    </xf>
    <xf numFmtId="0" fontId="14" fillId="0" borderId="0" xfId="5" applyFont="1" applyBorder="1" applyAlignment="1">
      <alignment horizontal="left" wrapText="1"/>
    </xf>
    <xf numFmtId="0" fontId="51" fillId="7" borderId="3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169" fontId="11" fillId="7" borderId="3" xfId="0" applyNumberFormat="1" applyFont="1" applyFill="1" applyBorder="1" applyAlignment="1">
      <alignment horizontal="center" vertical="center"/>
    </xf>
    <xf numFmtId="0" fontId="14" fillId="0" borderId="3" xfId="5" applyFont="1" applyBorder="1" applyAlignment="1">
      <alignment vertical="center"/>
    </xf>
    <xf numFmtId="169" fontId="11" fillId="0" borderId="28" xfId="0" applyNumberFormat="1" applyFont="1" applyFill="1" applyBorder="1" applyAlignment="1">
      <alignment horizontal="center" vertical="center"/>
    </xf>
    <xf numFmtId="169" fontId="11" fillId="0" borderId="26" xfId="0" applyNumberFormat="1" applyFont="1" applyFill="1" applyBorder="1" applyAlignment="1">
      <alignment horizontal="center" vertical="center"/>
    </xf>
    <xf numFmtId="0" fontId="51" fillId="0" borderId="76" xfId="0" applyFont="1" applyFill="1" applyBorder="1" applyAlignment="1">
      <alignment horizontal="center" vertical="center"/>
    </xf>
    <xf numFmtId="169" fontId="11" fillId="0" borderId="3" xfId="0" applyNumberFormat="1" applyFont="1" applyFill="1" applyBorder="1" applyAlignment="1">
      <alignment horizontal="center" vertical="center"/>
    </xf>
    <xf numFmtId="169" fontId="11" fillId="0" borderId="29" xfId="0" applyNumberFormat="1" applyFont="1" applyFill="1" applyBorder="1" applyAlignment="1">
      <alignment horizontal="center" vertical="center"/>
    </xf>
    <xf numFmtId="169" fontId="11" fillId="0" borderId="17" xfId="0" applyNumberFormat="1" applyFont="1" applyFill="1" applyBorder="1" applyAlignment="1">
      <alignment horizontal="center" vertical="center"/>
    </xf>
    <xf numFmtId="0" fontId="39" fillId="8" borderId="15" xfId="0" applyFont="1" applyFill="1" applyBorder="1" applyAlignment="1">
      <alignment horizontal="center" vertical="center"/>
    </xf>
    <xf numFmtId="169" fontId="11" fillId="8" borderId="28" xfId="0" applyNumberFormat="1" applyFont="1" applyFill="1" applyBorder="1" applyAlignment="1">
      <alignment horizontal="center" vertical="center"/>
    </xf>
    <xf numFmtId="0" fontId="14" fillId="8" borderId="17" xfId="0" applyFont="1" applyFill="1" applyBorder="1" applyAlignment="1">
      <alignment horizontal="center" vertical="center"/>
    </xf>
    <xf numFmtId="169" fontId="11" fillId="8" borderId="29" xfId="0" applyNumberFormat="1" applyFont="1" applyFill="1" applyBorder="1" applyAlignment="1">
      <alignment horizontal="center" vertical="center"/>
    </xf>
    <xf numFmtId="0" fontId="39" fillId="8" borderId="26" xfId="0" applyFont="1" applyFill="1" applyBorder="1" applyAlignment="1">
      <alignment horizontal="center" vertical="center"/>
    </xf>
    <xf numFmtId="169" fontId="11" fillId="8" borderId="26" xfId="0" applyNumberFormat="1" applyFont="1" applyFill="1" applyBorder="1" applyAlignment="1">
      <alignment horizontal="center" vertical="center"/>
    </xf>
    <xf numFmtId="169" fontId="17" fillId="0" borderId="0" xfId="0" applyNumberFormat="1" applyFont="1" applyFill="1" applyAlignment="1">
      <alignment horizontal="center" vertical="center"/>
    </xf>
    <xf numFmtId="178" fontId="8" fillId="0" borderId="0" xfId="13" applyNumberFormat="1" applyAlignment="1">
      <alignment vertical="center"/>
    </xf>
    <xf numFmtId="0" fontId="13" fillId="0" borderId="0" xfId="0" applyFont="1" applyAlignment="1">
      <alignment horizontal="centerContinuous" vertical="center"/>
    </xf>
    <xf numFmtId="0" fontId="55" fillId="0" borderId="77" xfId="14" applyFont="1" applyBorder="1" applyAlignment="1">
      <alignment horizontal="center" textRotation="90"/>
    </xf>
    <xf numFmtId="0" fontId="55" fillId="0" borderId="77" xfId="14" applyFont="1" applyFill="1" applyBorder="1" applyAlignment="1">
      <alignment horizontal="center" textRotation="90"/>
    </xf>
    <xf numFmtId="0" fontId="55" fillId="0" borderId="78" xfId="14" applyFont="1" applyBorder="1" applyAlignment="1">
      <alignment horizontal="center" textRotation="90"/>
    </xf>
    <xf numFmtId="0" fontId="17" fillId="0" borderId="0" xfId="9" applyFont="1" applyAlignment="1"/>
    <xf numFmtId="0" fontId="11" fillId="0" borderId="0" xfId="2" applyFont="1" applyFill="1"/>
    <xf numFmtId="0" fontId="11" fillId="0" borderId="0" xfId="2" applyFont="1" applyFill="1" applyAlignment="1">
      <alignment horizontal="center"/>
    </xf>
    <xf numFmtId="0" fontId="11" fillId="0" borderId="0" xfId="2" applyFont="1" applyFill="1" applyBorder="1" applyAlignment="1">
      <alignment horizontal="center"/>
    </xf>
    <xf numFmtId="0" fontId="17" fillId="0" borderId="0" xfId="3" applyFont="1"/>
    <xf numFmtId="0" fontId="11" fillId="0" borderId="0" xfId="2" applyFont="1" applyFill="1" applyBorder="1"/>
    <xf numFmtId="0" fontId="70" fillId="0" borderId="0" xfId="3"/>
    <xf numFmtId="187" fontId="17" fillId="0" borderId="80" xfId="2" applyNumberFormat="1" applyFont="1" applyFill="1" applyBorder="1" applyAlignment="1">
      <alignment vertical="center"/>
    </xf>
    <xf numFmtId="187" fontId="17" fillId="0" borderId="3" xfId="2" applyNumberFormat="1" applyFont="1" applyFill="1" applyBorder="1" applyAlignment="1">
      <alignment vertical="center"/>
    </xf>
    <xf numFmtId="187" fontId="17" fillId="0" borderId="0" xfId="2" applyNumberFormat="1" applyFont="1" applyFill="1" applyBorder="1" applyAlignment="1">
      <alignment vertical="center"/>
    </xf>
    <xf numFmtId="0" fontId="58" fillId="9" borderId="0" xfId="0" applyFont="1" applyFill="1" applyAlignment="1">
      <alignment horizontal="centerContinuous" vertical="center"/>
    </xf>
    <xf numFmtId="0" fontId="59" fillId="9" borderId="0" xfId="0" applyFont="1" applyFill="1" applyAlignment="1">
      <alignment horizontal="centerContinuous"/>
    </xf>
    <xf numFmtId="0" fontId="17" fillId="0" borderId="0" xfId="2" applyFont="1" applyFill="1" applyAlignment="1">
      <alignment vertical="center"/>
    </xf>
    <xf numFmtId="0" fontId="17" fillId="0" borderId="15" xfId="3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vertical="center"/>
    </xf>
    <xf numFmtId="187" fontId="17" fillId="10" borderId="3" xfId="2" applyNumberFormat="1" applyFont="1" applyFill="1" applyBorder="1" applyAlignment="1">
      <alignment vertical="center"/>
    </xf>
    <xf numFmtId="187" fontId="17" fillId="0" borderId="15" xfId="2" applyNumberFormat="1" applyFont="1" applyFill="1" applyBorder="1" applyAlignment="1">
      <alignment vertical="center"/>
    </xf>
    <xf numFmtId="187" fontId="17" fillId="0" borderId="81" xfId="2" applyNumberFormat="1" applyFont="1" applyFill="1" applyBorder="1" applyAlignment="1">
      <alignment vertical="center"/>
    </xf>
    <xf numFmtId="187" fontId="17" fillId="0" borderId="17" xfId="2" applyNumberFormat="1" applyFont="1" applyFill="1" applyBorder="1" applyAlignment="1">
      <alignment vertical="center"/>
    </xf>
    <xf numFmtId="187" fontId="17" fillId="0" borderId="24" xfId="2" applyNumberFormat="1" applyFont="1" applyFill="1" applyBorder="1" applyAlignment="1">
      <alignment vertical="center"/>
    </xf>
    <xf numFmtId="187" fontId="17" fillId="0" borderId="18" xfId="2" applyNumberFormat="1" applyFont="1" applyFill="1" applyBorder="1" applyAlignment="1">
      <alignment vertical="center"/>
    </xf>
    <xf numFmtId="187" fontId="17" fillId="0" borderId="26" xfId="2" applyNumberFormat="1" applyFont="1" applyFill="1" applyBorder="1" applyAlignment="1">
      <alignment vertical="center"/>
    </xf>
    <xf numFmtId="0" fontId="17" fillId="0" borderId="31" xfId="2" applyFont="1" applyFill="1" applyBorder="1" applyAlignment="1">
      <alignment vertical="center"/>
    </xf>
    <xf numFmtId="0" fontId="17" fillId="0" borderId="9" xfId="2" applyFont="1" applyFill="1" applyBorder="1" applyAlignment="1">
      <alignment vertical="center"/>
    </xf>
    <xf numFmtId="0" fontId="17" fillId="0" borderId="82" xfId="2" applyFont="1" applyFill="1" applyBorder="1" applyAlignment="1">
      <alignment vertical="center"/>
    </xf>
    <xf numFmtId="0" fontId="17" fillId="10" borderId="51" xfId="2" applyFont="1" applyFill="1" applyBorder="1" applyAlignment="1">
      <alignment vertical="center"/>
    </xf>
    <xf numFmtId="0" fontId="17" fillId="0" borderId="8" xfId="2" applyFont="1" applyFill="1" applyBorder="1" applyAlignment="1">
      <alignment vertical="center"/>
    </xf>
    <xf numFmtId="0" fontId="17" fillId="0" borderId="11" xfId="2" applyFont="1" applyFill="1" applyBorder="1" applyAlignment="1">
      <alignment vertical="center"/>
    </xf>
    <xf numFmtId="0" fontId="17" fillId="0" borderId="51" xfId="2" applyFont="1" applyFill="1" applyBorder="1" applyAlignment="1">
      <alignment vertical="center"/>
    </xf>
    <xf numFmtId="0" fontId="17" fillId="0" borderId="83" xfId="2" applyFont="1" applyFill="1" applyBorder="1" applyAlignment="1">
      <alignment vertical="center"/>
    </xf>
    <xf numFmtId="0" fontId="17" fillId="10" borderId="12" xfId="2" applyFont="1" applyFill="1" applyBorder="1" applyAlignment="1">
      <alignment vertical="center"/>
    </xf>
    <xf numFmtId="187" fontId="17" fillId="10" borderId="27" xfId="2" applyNumberFormat="1" applyFont="1" applyFill="1" applyBorder="1" applyAlignment="1">
      <alignment vertical="center"/>
    </xf>
    <xf numFmtId="0" fontId="17" fillId="4" borderId="84" xfId="2" applyFont="1" applyFill="1" applyBorder="1" applyAlignment="1">
      <alignment vertical="center"/>
    </xf>
    <xf numFmtId="187" fontId="17" fillId="4" borderId="49" xfId="2" applyNumberFormat="1" applyFont="1" applyFill="1" applyBorder="1" applyAlignment="1">
      <alignment vertical="center"/>
    </xf>
    <xf numFmtId="0" fontId="17" fillId="0" borderId="20" xfId="2" applyFont="1" applyFill="1" applyBorder="1" applyAlignment="1">
      <alignment horizontal="center" vertical="center"/>
    </xf>
    <xf numFmtId="0" fontId="37" fillId="0" borderId="38" xfId="0" applyFont="1" applyBorder="1" applyAlignment="1">
      <alignment vertical="center"/>
    </xf>
    <xf numFmtId="0" fontId="10" fillId="0" borderId="0" xfId="0" applyFont="1" applyAlignment="1">
      <alignment textRotation="90"/>
    </xf>
    <xf numFmtId="0" fontId="10" fillId="0" borderId="0" xfId="10" applyFont="1"/>
    <xf numFmtId="0" fontId="8" fillId="0" borderId="0" xfId="10"/>
    <xf numFmtId="0" fontId="16" fillId="0" borderId="0" xfId="10" applyFont="1"/>
    <xf numFmtId="0" fontId="16" fillId="0" borderId="0" xfId="10" applyFont="1" applyAlignment="1">
      <alignment horizontal="centerContinuous"/>
    </xf>
    <xf numFmtId="166" fontId="16" fillId="0" borderId="0" xfId="10" applyNumberFormat="1" applyFont="1" applyAlignment="1">
      <alignment horizontal="centerContinuous"/>
    </xf>
    <xf numFmtId="0" fontId="16" fillId="0" borderId="0" xfId="10" applyFont="1" applyFill="1" applyBorder="1" applyAlignment="1">
      <alignment horizontal="centerContinuous" vertical="center"/>
    </xf>
    <xf numFmtId="166" fontId="16" fillId="0" borderId="0" xfId="10" applyNumberFormat="1" applyFont="1" applyFill="1" applyBorder="1" applyAlignment="1">
      <alignment horizontal="centerContinuous" vertical="center"/>
    </xf>
    <xf numFmtId="0" fontId="64" fillId="0" borderId="0" xfId="10" applyFont="1"/>
    <xf numFmtId="0" fontId="65" fillId="0" borderId="0" xfId="10" applyFont="1"/>
    <xf numFmtId="0" fontId="13" fillId="0" borderId="0" xfId="10" applyFont="1"/>
    <xf numFmtId="0" fontId="13" fillId="0" borderId="0" xfId="10" applyFont="1" applyAlignment="1">
      <alignment horizontal="left"/>
    </xf>
    <xf numFmtId="0" fontId="17" fillId="0" borderId="79" xfId="10" applyFont="1" applyBorder="1" applyAlignment="1">
      <alignment horizontal="center" vertical="center"/>
    </xf>
    <xf numFmtId="174" fontId="17" fillId="0" borderId="87" xfId="10" applyNumberFormat="1" applyFont="1" applyBorder="1" applyAlignment="1">
      <alignment vertical="center"/>
    </xf>
    <xf numFmtId="174" fontId="17" fillId="0" borderId="16" xfId="10" applyNumberFormat="1" applyFont="1" applyBorder="1" applyAlignment="1">
      <alignment vertical="center"/>
    </xf>
    <xf numFmtId="174" fontId="17" fillId="0" borderId="72" xfId="10" applyNumberFormat="1" applyFont="1" applyBorder="1" applyAlignment="1">
      <alignment vertical="center"/>
    </xf>
    <xf numFmtId="174" fontId="17" fillId="0" borderId="7" xfId="10" applyNumberFormat="1" applyFont="1" applyBorder="1" applyAlignment="1">
      <alignment vertical="center"/>
    </xf>
    <xf numFmtId="174" fontId="17" fillId="0" borderId="7" xfId="10" applyNumberFormat="1" applyFont="1" applyFill="1" applyBorder="1" applyAlignment="1">
      <alignment vertical="center"/>
    </xf>
    <xf numFmtId="174" fontId="17" fillId="0" borderId="72" xfId="10" applyNumberFormat="1" applyFont="1" applyFill="1" applyBorder="1" applyAlignment="1">
      <alignment vertical="center"/>
    </xf>
    <xf numFmtId="1" fontId="10" fillId="0" borderId="62" xfId="10" applyNumberFormat="1" applyFont="1" applyBorder="1" applyAlignment="1">
      <alignment horizontal="center" vertical="center"/>
    </xf>
    <xf numFmtId="174" fontId="17" fillId="0" borderId="62" xfId="10" applyNumberFormat="1" applyFont="1" applyBorder="1" applyAlignment="1">
      <alignment vertical="center"/>
    </xf>
    <xf numFmtId="174" fontId="17" fillId="0" borderId="67" xfId="10" applyNumberFormat="1" applyFont="1" applyBorder="1" applyAlignment="1">
      <alignment vertical="center"/>
    </xf>
    <xf numFmtId="174" fontId="17" fillId="0" borderId="35" xfId="10" applyNumberFormat="1" applyFont="1" applyBorder="1" applyAlignment="1">
      <alignment vertical="center"/>
    </xf>
    <xf numFmtId="174" fontId="17" fillId="0" borderId="9" xfId="10" applyNumberFormat="1" applyFont="1" applyBorder="1" applyAlignment="1">
      <alignment vertical="center"/>
    </xf>
    <xf numFmtId="174" fontId="17" fillId="0" borderId="9" xfId="10" applyNumberFormat="1" applyFont="1" applyFill="1" applyBorder="1" applyAlignment="1">
      <alignment vertical="center"/>
    </xf>
    <xf numFmtId="174" fontId="17" fillId="0" borderId="35" xfId="10" applyNumberFormat="1" applyFont="1" applyFill="1" applyBorder="1" applyAlignment="1">
      <alignment vertical="center"/>
    </xf>
    <xf numFmtId="1" fontId="10" fillId="0" borderId="88" xfId="10" applyNumberFormat="1" applyFont="1" applyBorder="1" applyAlignment="1">
      <alignment horizontal="center" vertical="center"/>
    </xf>
    <xf numFmtId="0" fontId="37" fillId="0" borderId="38" xfId="10" applyFont="1" applyBorder="1" applyAlignment="1">
      <alignment vertical="center"/>
    </xf>
    <xf numFmtId="166" fontId="10" fillId="0" borderId="0" xfId="10" applyNumberFormat="1" applyFont="1"/>
    <xf numFmtId="0" fontId="45" fillId="0" borderId="0" xfId="10" applyFont="1"/>
    <xf numFmtId="1" fontId="8" fillId="0" borderId="0" xfId="10" applyNumberFormat="1"/>
    <xf numFmtId="0" fontId="54" fillId="0" borderId="0" xfId="10" applyFont="1"/>
    <xf numFmtId="1" fontId="17" fillId="0" borderId="89" xfId="13" applyNumberFormat="1" applyFont="1" applyBorder="1" applyAlignment="1">
      <alignment horizontal="centerContinuous" vertical="center"/>
    </xf>
    <xf numFmtId="1" fontId="17" fillId="0" borderId="90" xfId="13" applyNumberFormat="1" applyFont="1" applyBorder="1" applyAlignment="1">
      <alignment horizontal="centerContinuous" vertical="center"/>
    </xf>
    <xf numFmtId="0" fontId="17" fillId="0" borderId="0" xfId="13" applyFont="1" applyAlignment="1">
      <alignment horizontal="right" vertical="center"/>
    </xf>
    <xf numFmtId="0" fontId="45" fillId="0" borderId="0" xfId="13" applyFont="1" applyAlignment="1">
      <alignment vertical="center"/>
    </xf>
    <xf numFmtId="0" fontId="48" fillId="0" borderId="0" xfId="13" applyFont="1" applyAlignment="1">
      <alignment vertical="center"/>
    </xf>
    <xf numFmtId="0" fontId="33" fillId="0" borderId="0" xfId="13" applyFont="1" applyAlignment="1">
      <alignment vertical="center"/>
    </xf>
    <xf numFmtId="1" fontId="39" fillId="0" borderId="89" xfId="13" applyNumberFormat="1" applyFont="1" applyBorder="1" applyAlignment="1">
      <alignment horizontal="centerContinuous" vertical="center"/>
    </xf>
    <xf numFmtId="0" fontId="8" fillId="0" borderId="0" xfId="10" applyAlignment="1">
      <alignment horizontal="centerContinuous" vertical="center"/>
    </xf>
    <xf numFmtId="0" fontId="16" fillId="0" borderId="0" xfId="10" applyFont="1" applyAlignment="1">
      <alignment horizontal="centerContinuous" vertical="center"/>
    </xf>
    <xf numFmtId="0" fontId="64" fillId="0" borderId="0" xfId="10" applyFont="1" applyAlignment="1">
      <alignment vertical="center"/>
    </xf>
    <xf numFmtId="0" fontId="8" fillId="0" borderId="0" xfId="10" applyAlignment="1">
      <alignment vertical="center"/>
    </xf>
    <xf numFmtId="0" fontId="17" fillId="0" borderId="0" xfId="0" applyFont="1" applyAlignment="1">
      <alignment vertical="center"/>
    </xf>
    <xf numFmtId="0" fontId="14" fillId="0" borderId="0" xfId="0" applyNumberFormat="1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1" fontId="17" fillId="0" borderId="0" xfId="0" applyNumberFormat="1" applyFont="1" applyBorder="1" applyAlignment="1">
      <alignment vertical="center"/>
    </xf>
    <xf numFmtId="0" fontId="45" fillId="0" borderId="0" xfId="12" applyFont="1" applyAlignment="1">
      <alignment horizontal="left" vertical="center"/>
    </xf>
    <xf numFmtId="0" fontId="45" fillId="0" borderId="0" xfId="0" applyFont="1" applyAlignment="1">
      <alignment vertical="center"/>
    </xf>
    <xf numFmtId="0" fontId="37" fillId="0" borderId="0" xfId="7" applyFont="1" applyAlignment="1">
      <alignment vertical="center"/>
    </xf>
    <xf numFmtId="0" fontId="17" fillId="0" borderId="0" xfId="11"/>
    <xf numFmtId="0" fontId="10" fillId="0" borderId="0" xfId="14" applyFont="1"/>
    <xf numFmtId="0" fontId="37" fillId="0" borderId="0" xfId="6" applyFont="1" applyBorder="1" applyAlignment="1">
      <alignment vertical="center"/>
    </xf>
    <xf numFmtId="0" fontId="37" fillId="0" borderId="39" xfId="11" applyFont="1" applyBorder="1" applyAlignment="1">
      <alignment vertical="center"/>
    </xf>
    <xf numFmtId="0" fontId="37" fillId="0" borderId="45" xfId="11" applyFont="1" applyBorder="1" applyAlignment="1">
      <alignment wrapText="1"/>
    </xf>
    <xf numFmtId="187" fontId="11" fillId="0" borderId="47" xfId="11" applyNumberFormat="1" applyFont="1" applyFill="1" applyBorder="1" applyAlignment="1">
      <alignment vertical="center"/>
    </xf>
    <xf numFmtId="0" fontId="17" fillId="0" borderId="0" xfId="11" applyBorder="1"/>
    <xf numFmtId="1" fontId="8" fillId="0" borderId="0" xfId="0" applyNumberFormat="1" applyFont="1" applyFill="1"/>
    <xf numFmtId="1" fontId="56" fillId="0" borderId="0" xfId="0" applyNumberFormat="1" applyFont="1" applyFill="1"/>
    <xf numFmtId="0" fontId="37" fillId="0" borderId="0" xfId="0" applyFont="1" applyBorder="1" applyAlignment="1">
      <alignment vertical="center"/>
    </xf>
    <xf numFmtId="166" fontId="45" fillId="0" borderId="0" xfId="0" applyNumberFormat="1" applyFont="1"/>
    <xf numFmtId="1" fontId="45" fillId="0" borderId="6" xfId="16" quotePrefix="1" applyNumberFormat="1" applyFont="1" applyBorder="1" applyAlignment="1">
      <alignment horizontal="center" vertical="center"/>
    </xf>
    <xf numFmtId="0" fontId="45" fillId="0" borderId="56" xfId="14" applyFont="1" applyBorder="1" applyAlignment="1">
      <alignment wrapText="1"/>
    </xf>
    <xf numFmtId="0" fontId="45" fillId="0" borderId="9" xfId="14" applyFont="1" applyFill="1" applyBorder="1" applyAlignment="1">
      <alignment vertical="center"/>
    </xf>
    <xf numFmtId="0" fontId="45" fillId="4" borderId="9" xfId="14" applyFont="1" applyFill="1" applyBorder="1" applyAlignment="1">
      <alignment vertical="center"/>
    </xf>
    <xf numFmtId="0" fontId="45" fillId="0" borderId="10" xfId="14" applyFont="1" applyFill="1" applyBorder="1" applyAlignment="1">
      <alignment vertical="center"/>
    </xf>
    <xf numFmtId="0" fontId="10" fillId="11" borderId="51" xfId="14" applyFont="1" applyFill="1" applyBorder="1" applyAlignment="1">
      <alignment vertical="center"/>
    </xf>
    <xf numFmtId="0" fontId="49" fillId="0" borderId="0" xfId="14" applyFont="1" applyFill="1" applyBorder="1"/>
    <xf numFmtId="178" fontId="17" fillId="4" borderId="28" xfId="12" applyNumberFormat="1" applyFont="1" applyFill="1" applyBorder="1" applyAlignment="1">
      <alignment vertical="center"/>
    </xf>
    <xf numFmtId="178" fontId="17" fillId="4" borderId="24" xfId="12" applyNumberFormat="1" applyFont="1" applyFill="1" applyBorder="1" applyAlignment="1">
      <alignment vertical="center"/>
    </xf>
    <xf numFmtId="178" fontId="17" fillId="4" borderId="29" xfId="12" applyNumberFormat="1" applyFont="1" applyFill="1" applyBorder="1" applyAlignment="1">
      <alignment vertical="center"/>
    </xf>
    <xf numFmtId="178" fontId="17" fillId="5" borderId="3" xfId="12" applyNumberFormat="1" applyFont="1" applyFill="1" applyBorder="1" applyAlignment="1">
      <alignment horizontal="right" vertical="center"/>
    </xf>
    <xf numFmtId="1" fontId="18" fillId="0" borderId="26" xfId="0" applyNumberFormat="1" applyFont="1" applyBorder="1" applyAlignment="1">
      <alignment horizontal="center" vertical="center" wrapText="1"/>
    </xf>
    <xf numFmtId="1" fontId="17" fillId="0" borderId="15" xfId="0" applyNumberFormat="1" applyFont="1" applyBorder="1" applyAlignment="1">
      <alignment vertical="center"/>
    </xf>
    <xf numFmtId="1" fontId="17" fillId="0" borderId="15" xfId="0" applyNumberFormat="1" applyFont="1" applyBorder="1" applyAlignment="1">
      <alignment horizontal="center" vertical="center"/>
    </xf>
    <xf numFmtId="168" fontId="29" fillId="0" borderId="29" xfId="0" applyNumberFormat="1" applyFont="1" applyBorder="1" applyAlignment="1">
      <alignment vertical="center"/>
    </xf>
    <xf numFmtId="168" fontId="29" fillId="0" borderId="17" xfId="0" applyNumberFormat="1" applyFont="1" applyBorder="1" applyAlignment="1">
      <alignment vertical="center"/>
    </xf>
    <xf numFmtId="0" fontId="28" fillId="0" borderId="0" xfId="0" applyFont="1" applyAlignment="1">
      <alignment horizontal="right" vertical="center"/>
    </xf>
    <xf numFmtId="171" fontId="29" fillId="0" borderId="0" xfId="18" applyNumberFormat="1" applyFont="1" applyBorder="1" applyAlignment="1">
      <alignment vertical="center"/>
    </xf>
    <xf numFmtId="1" fontId="45" fillId="0" borderId="21" xfId="0" applyNumberFormat="1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0" fillId="0" borderId="0" xfId="15" applyFont="1" applyAlignment="1">
      <alignment vertical="center"/>
    </xf>
    <xf numFmtId="0" fontId="10" fillId="0" borderId="0" xfId="15" applyFont="1"/>
    <xf numFmtId="0" fontId="11" fillId="0" borderId="0" xfId="4" applyFont="1" applyAlignment="1">
      <alignment horizontal="left"/>
    </xf>
    <xf numFmtId="2" fontId="10" fillId="0" borderId="0" xfId="15" applyNumberFormat="1" applyFont="1" applyAlignment="1">
      <alignment vertical="center"/>
    </xf>
    <xf numFmtId="0" fontId="28" fillId="0" borderId="14" xfId="15" applyFont="1" applyBorder="1" applyAlignment="1">
      <alignment vertical="center"/>
    </xf>
    <xf numFmtId="177" fontId="18" fillId="0" borderId="34" xfId="15" applyNumberFormat="1" applyFont="1" applyBorder="1" applyAlignment="1">
      <alignment horizontal="right" vertical="center"/>
    </xf>
    <xf numFmtId="174" fontId="18" fillId="0" borderId="67" xfId="15" applyNumberFormat="1" applyFont="1" applyBorder="1" applyAlignment="1">
      <alignment vertical="center"/>
    </xf>
    <xf numFmtId="174" fontId="18" fillId="0" borderId="94" xfId="15" applyNumberFormat="1" applyFont="1" applyBorder="1" applyAlignment="1">
      <alignment vertical="center"/>
    </xf>
    <xf numFmtId="177" fontId="18" fillId="0" borderId="69" xfId="15" applyNumberFormat="1" applyFont="1" applyBorder="1" applyAlignment="1">
      <alignment horizontal="right" vertical="center"/>
    </xf>
    <xf numFmtId="177" fontId="18" fillId="0" borderId="14" xfId="15" applyNumberFormat="1" applyFont="1" applyBorder="1" applyAlignment="1">
      <alignment horizontal="right" vertical="center"/>
    </xf>
    <xf numFmtId="174" fontId="18" fillId="0" borderId="95" xfId="15" applyNumberFormat="1" applyFont="1" applyFill="1" applyBorder="1" applyAlignment="1">
      <alignment vertical="center"/>
    </xf>
    <xf numFmtId="177" fontId="18" fillId="0" borderId="72" xfId="15" applyNumberFormat="1" applyFont="1" applyBorder="1" applyAlignment="1">
      <alignment horizontal="right" vertical="center"/>
    </xf>
    <xf numFmtId="174" fontId="18" fillId="0" borderId="23" xfId="15" applyNumberFormat="1" applyFont="1" applyFill="1" applyBorder="1" applyAlignment="1">
      <alignment vertical="center"/>
    </xf>
    <xf numFmtId="174" fontId="18" fillId="3" borderId="34" xfId="15" applyNumberFormat="1" applyFont="1" applyFill="1" applyBorder="1" applyAlignment="1">
      <alignment vertical="center"/>
    </xf>
    <xf numFmtId="174" fontId="18" fillId="0" borderId="58" xfId="15" applyNumberFormat="1" applyFont="1" applyBorder="1" applyAlignment="1">
      <alignment vertical="center"/>
    </xf>
    <xf numFmtId="174" fontId="18" fillId="0" borderId="86" xfId="15" applyNumberFormat="1" applyFont="1" applyBorder="1" applyAlignment="1">
      <alignment vertical="center"/>
    </xf>
    <xf numFmtId="177" fontId="18" fillId="0" borderId="57" xfId="15" applyNumberFormat="1" applyFont="1" applyBorder="1" applyAlignment="1">
      <alignment horizontal="right" vertical="center"/>
    </xf>
    <xf numFmtId="0" fontId="56" fillId="0" borderId="0" xfId="15" applyFont="1"/>
    <xf numFmtId="0" fontId="67" fillId="9" borderId="0" xfId="0" applyFont="1" applyFill="1" applyAlignment="1">
      <alignment horizontal="centerContinuous" vertical="center"/>
    </xf>
    <xf numFmtId="0" fontId="63" fillId="9" borderId="0" xfId="0" applyFont="1" applyFill="1" applyAlignment="1">
      <alignment horizontal="centerContinuous" vertical="center"/>
    </xf>
    <xf numFmtId="0" fontId="37" fillId="0" borderId="0" xfId="0" applyFont="1"/>
    <xf numFmtId="17" fontId="17" fillId="0" borderId="0" xfId="9" quotePrefix="1" applyNumberFormat="1" applyFont="1" applyAlignment="1">
      <alignment horizontal="right"/>
    </xf>
    <xf numFmtId="0" fontId="45" fillId="0" borderId="0" xfId="0" quotePrefix="1" applyFont="1"/>
    <xf numFmtId="0" fontId="37" fillId="0" borderId="0" xfId="0" applyFont="1" applyBorder="1" applyAlignment="1">
      <alignment horizontal="left" vertical="center"/>
    </xf>
    <xf numFmtId="0" fontId="45" fillId="0" borderId="0" xfId="16" applyFont="1"/>
    <xf numFmtId="0" fontId="71" fillId="0" borderId="0" xfId="15" applyFont="1" applyAlignment="1">
      <alignment vertical="center"/>
    </xf>
    <xf numFmtId="0" fontId="66" fillId="13" borderId="0" xfId="15" applyFont="1" applyFill="1" applyAlignment="1">
      <alignment horizontal="centerContinuous" vertical="center"/>
    </xf>
    <xf numFmtId="0" fontId="10" fillId="13" borderId="0" xfId="15" applyFont="1" applyFill="1" applyAlignment="1">
      <alignment horizontal="centerContinuous" vertical="center"/>
    </xf>
    <xf numFmtId="0" fontId="29" fillId="13" borderId="0" xfId="15" applyFont="1" applyFill="1" applyAlignment="1">
      <alignment horizontal="centerContinuous" vertical="center"/>
    </xf>
    <xf numFmtId="0" fontId="0" fillId="9" borderId="0" xfId="0" applyFill="1" applyAlignment="1">
      <alignment horizontal="centerContinuous"/>
    </xf>
    <xf numFmtId="1" fontId="16" fillId="9" borderId="0" xfId="0" applyNumberFormat="1" applyFont="1" applyFill="1" applyAlignment="1">
      <alignment horizontal="centerContinuous" vertical="center"/>
    </xf>
    <xf numFmtId="1" fontId="10" fillId="0" borderId="0" xfId="0" applyNumberFormat="1" applyFont="1" applyFill="1" applyAlignment="1">
      <alignment horizontal="centerContinuous"/>
    </xf>
    <xf numFmtId="0" fontId="10" fillId="0" borderId="0" xfId="4" applyFont="1"/>
    <xf numFmtId="166" fontId="10" fillId="0" borderId="0" xfId="4" applyNumberFormat="1" applyFont="1"/>
    <xf numFmtId="0" fontId="8" fillId="0" borderId="0" xfId="4"/>
    <xf numFmtId="0" fontId="67" fillId="9" borderId="0" xfId="4" applyFont="1" applyFill="1" applyAlignment="1">
      <alignment horizontal="centerContinuous" vertical="center"/>
    </xf>
    <xf numFmtId="0" fontId="62" fillId="9" borderId="0" xfId="4" applyFont="1" applyFill="1" applyAlignment="1">
      <alignment horizontal="centerContinuous" vertical="center"/>
    </xf>
    <xf numFmtId="167" fontId="60" fillId="9" borderId="0" xfId="4" applyNumberFormat="1" applyFont="1" applyFill="1" applyAlignment="1">
      <alignment horizontal="centerContinuous" vertical="center"/>
    </xf>
    <xf numFmtId="0" fontId="16" fillId="0" borderId="0" xfId="4" applyFont="1"/>
    <xf numFmtId="0" fontId="16" fillId="0" borderId="0" xfId="4" applyFont="1" applyAlignment="1">
      <alignment horizontal="centerContinuous" vertical="center"/>
    </xf>
    <xf numFmtId="166" fontId="16" fillId="0" borderId="0" xfId="4" applyNumberFormat="1" applyFont="1" applyAlignment="1">
      <alignment horizontal="centerContinuous" vertical="center"/>
    </xf>
    <xf numFmtId="0" fontId="16" fillId="0" borderId="0" xfId="4" applyFont="1" applyFill="1" applyBorder="1" applyAlignment="1">
      <alignment horizontal="centerContinuous" vertical="center"/>
    </xf>
    <xf numFmtId="166" fontId="16" fillId="0" borderId="0" xfId="4" applyNumberFormat="1" applyFont="1" applyFill="1" applyBorder="1" applyAlignment="1">
      <alignment horizontal="centerContinuous" vertical="center"/>
    </xf>
    <xf numFmtId="0" fontId="11" fillId="0" borderId="0" xfId="4" applyFont="1" applyAlignment="1">
      <alignment horizontal="left" vertical="center"/>
    </xf>
    <xf numFmtId="0" fontId="8" fillId="0" borderId="0" xfId="4" applyAlignment="1">
      <alignment horizontal="centerContinuous" vertical="center"/>
    </xf>
    <xf numFmtId="0" fontId="26" fillId="0" borderId="0" xfId="4" applyFont="1" applyAlignment="1">
      <alignment horizontal="centerContinuous" vertical="center"/>
    </xf>
    <xf numFmtId="0" fontId="10" fillId="0" borderId="0" xfId="4" applyFont="1" applyAlignment="1">
      <alignment horizontal="left" vertical="center"/>
    </xf>
    <xf numFmtId="166" fontId="10" fillId="0" borderId="0" xfId="4" applyNumberFormat="1" applyFont="1" applyAlignment="1">
      <alignment horizontal="left" vertical="center"/>
    </xf>
    <xf numFmtId="1" fontId="45" fillId="0" borderId="30" xfId="4" applyNumberFormat="1" applyFont="1" applyBorder="1" applyAlignment="1">
      <alignment horizontal="center" vertical="center"/>
    </xf>
    <xf numFmtId="1" fontId="45" fillId="0" borderId="28" xfId="4" applyNumberFormat="1" applyFont="1" applyBorder="1" applyAlignment="1">
      <alignment vertical="center"/>
    </xf>
    <xf numFmtId="164" fontId="45" fillId="0" borderId="28" xfId="4" applyNumberFormat="1" applyFont="1" applyBorder="1" applyAlignment="1">
      <alignment vertical="center"/>
    </xf>
    <xf numFmtId="0" fontId="10" fillId="0" borderId="0" xfId="4" applyFont="1" applyAlignment="1">
      <alignment vertical="center"/>
    </xf>
    <xf numFmtId="1" fontId="45" fillId="0" borderId="6" xfId="4" applyNumberFormat="1" applyFont="1" applyBorder="1" applyAlignment="1">
      <alignment horizontal="center" vertical="center"/>
    </xf>
    <xf numFmtId="1" fontId="45" fillId="0" borderId="29" xfId="4" applyNumberFormat="1" applyFont="1" applyBorder="1" applyAlignment="1">
      <alignment vertical="center"/>
    </xf>
    <xf numFmtId="164" fontId="45" fillId="0" borderId="29" xfId="4" applyNumberFormat="1" applyFont="1" applyBorder="1" applyAlignment="1">
      <alignment vertical="center"/>
    </xf>
    <xf numFmtId="1" fontId="45" fillId="0" borderId="29" xfId="4" applyNumberFormat="1" applyFont="1" applyBorder="1" applyAlignment="1">
      <alignment vertical="center" wrapText="1"/>
    </xf>
    <xf numFmtId="1" fontId="45" fillId="0" borderId="29" xfId="4" applyNumberFormat="1" applyFont="1" applyBorder="1" applyAlignment="1">
      <alignment horizontal="left" vertical="center" wrapText="1"/>
    </xf>
    <xf numFmtId="1" fontId="45" fillId="0" borderId="9" xfId="4" applyNumberFormat="1" applyFont="1" applyBorder="1" applyAlignment="1">
      <alignment horizontal="center" vertical="center"/>
    </xf>
    <xf numFmtId="1" fontId="45" fillId="0" borderId="24" xfId="4" applyNumberFormat="1" applyFont="1" applyBorder="1" applyAlignment="1">
      <alignment vertical="center"/>
    </xf>
    <xf numFmtId="1" fontId="45" fillId="0" borderId="31" xfId="4" applyNumberFormat="1" applyFont="1" applyBorder="1" applyAlignment="1">
      <alignment horizontal="centerContinuous" vertical="center"/>
    </xf>
    <xf numFmtId="1" fontId="45" fillId="0" borderId="15" xfId="4" applyNumberFormat="1" applyFont="1" applyBorder="1" applyAlignment="1">
      <alignment horizontal="centerContinuous" vertical="center"/>
    </xf>
    <xf numFmtId="0" fontId="37" fillId="0" borderId="38" xfId="4" applyFont="1" applyBorder="1" applyAlignment="1">
      <alignment vertical="center"/>
    </xf>
    <xf numFmtId="0" fontId="17" fillId="0" borderId="38" xfId="4" applyFont="1" applyBorder="1" applyAlignment="1">
      <alignment horizontal="right" vertical="center"/>
    </xf>
    <xf numFmtId="0" fontId="45" fillId="0" borderId="32" xfId="4" applyFont="1" applyBorder="1" applyAlignment="1">
      <alignment vertical="center"/>
    </xf>
    <xf numFmtId="168" fontId="20" fillId="0" borderId="0" xfId="4" applyNumberFormat="1" applyFont="1" applyAlignment="1">
      <alignment vertical="center"/>
    </xf>
    <xf numFmtId="166" fontId="20" fillId="0" borderId="0" xfId="4" applyNumberFormat="1" applyFont="1" applyAlignment="1">
      <alignment horizontal="right"/>
    </xf>
    <xf numFmtId="0" fontId="16" fillId="0" borderId="0" xfId="4" applyFont="1" applyAlignment="1">
      <alignment horizontal="centerContinuous"/>
    </xf>
    <xf numFmtId="166" fontId="16" fillId="0" borderId="0" xfId="4" applyNumberFormat="1" applyFont="1" applyAlignment="1">
      <alignment horizontal="centerContinuous"/>
    </xf>
    <xf numFmtId="0" fontId="26" fillId="0" borderId="0" xfId="4" applyFont="1" applyAlignment="1">
      <alignment horizontal="centerContinuous"/>
    </xf>
    <xf numFmtId="0" fontId="10" fillId="0" borderId="0" xfId="4" applyFont="1" applyAlignment="1">
      <alignment horizontal="left"/>
    </xf>
    <xf numFmtId="166" fontId="10" fillId="0" borderId="0" xfId="4" applyNumberFormat="1" applyFont="1" applyAlignment="1">
      <alignment horizontal="left"/>
    </xf>
    <xf numFmtId="1" fontId="45" fillId="0" borderId="31" xfId="4" applyNumberFormat="1" applyFont="1" applyBorder="1" applyAlignment="1">
      <alignment horizontal="centerContinuous"/>
    </xf>
    <xf numFmtId="1" fontId="45" fillId="0" borderId="15" xfId="4" applyNumberFormat="1" applyFont="1" applyBorder="1" applyAlignment="1">
      <alignment horizontal="centerContinuous"/>
    </xf>
    <xf numFmtId="0" fontId="17" fillId="0" borderId="38" xfId="4" applyFont="1" applyBorder="1" applyAlignment="1">
      <alignment horizontal="right"/>
    </xf>
    <xf numFmtId="0" fontId="45" fillId="0" borderId="32" xfId="4" applyFont="1" applyBorder="1"/>
    <xf numFmtId="1" fontId="8" fillId="0" borderId="0" xfId="4" applyNumberFormat="1"/>
    <xf numFmtId="164" fontId="8" fillId="0" borderId="0" xfId="4" applyNumberFormat="1"/>
    <xf numFmtId="164" fontId="10" fillId="0" borderId="0" xfId="4" applyNumberFormat="1" applyFont="1"/>
    <xf numFmtId="1" fontId="8" fillId="0" borderId="0" xfId="4" applyNumberFormat="1" applyAlignment="1">
      <alignment vertical="center"/>
    </xf>
    <xf numFmtId="0" fontId="13" fillId="0" borderId="0" xfId="4" applyFont="1" applyAlignment="1">
      <alignment horizontal="left"/>
    </xf>
    <xf numFmtId="0" fontId="13" fillId="0" borderId="0" xfId="4" applyFont="1"/>
    <xf numFmtId="0" fontId="10" fillId="0" borderId="0" xfId="0" applyFont="1" applyAlignment="1">
      <alignment horizontal="centerContinuous"/>
    </xf>
    <xf numFmtId="190" fontId="17" fillId="0" borderId="28" xfId="0" applyNumberFormat="1" applyFont="1" applyFill="1" applyBorder="1" applyAlignment="1">
      <alignment vertical="center"/>
    </xf>
    <xf numFmtId="190" fontId="17" fillId="0" borderId="24" xfId="0" applyNumberFormat="1" applyFont="1" applyFill="1" applyBorder="1" applyAlignment="1">
      <alignment vertical="center"/>
    </xf>
    <xf numFmtId="190" fontId="17" fillId="4" borderId="24" xfId="0" applyNumberFormat="1" applyFont="1" applyFill="1" applyBorder="1" applyAlignment="1">
      <alignment vertical="center"/>
    </xf>
    <xf numFmtId="190" fontId="17" fillId="0" borderId="24" xfId="0" applyNumberFormat="1" applyFont="1" applyBorder="1" applyAlignment="1">
      <alignment vertical="center"/>
    </xf>
    <xf numFmtId="0" fontId="10" fillId="0" borderId="0" xfId="0" applyFont="1" applyFill="1"/>
    <xf numFmtId="0" fontId="10" fillId="0" borderId="0" xfId="0" applyFont="1" applyFill="1" applyAlignment="1">
      <alignment textRotation="90"/>
    </xf>
    <xf numFmtId="190" fontId="17" fillId="0" borderId="98" xfId="0" applyNumberFormat="1" applyFont="1" applyBorder="1"/>
    <xf numFmtId="190" fontId="17" fillId="0" borderId="28" xfId="0" applyNumberFormat="1" applyFont="1" applyBorder="1"/>
    <xf numFmtId="190" fontId="17" fillId="0" borderId="25" xfId="0" applyNumberFormat="1" applyFont="1" applyBorder="1"/>
    <xf numFmtId="190" fontId="17" fillId="0" borderId="24" xfId="0" applyNumberFormat="1" applyFont="1" applyBorder="1"/>
    <xf numFmtId="190" fontId="17" fillId="0" borderId="92" xfId="0" applyNumberFormat="1" applyFont="1" applyBorder="1"/>
    <xf numFmtId="190" fontId="17" fillId="0" borderId="44" xfId="0" applyNumberFormat="1" applyFont="1" applyBorder="1"/>
    <xf numFmtId="190" fontId="17" fillId="0" borderId="37" xfId="0" applyNumberFormat="1" applyFont="1" applyBorder="1"/>
    <xf numFmtId="191" fontId="17" fillId="0" borderId="99" xfId="0" applyNumberFormat="1" applyFont="1" applyBorder="1" applyAlignment="1">
      <alignment vertical="center"/>
    </xf>
    <xf numFmtId="191" fontId="17" fillId="0" borderId="98" xfId="0" applyNumberFormat="1" applyFont="1" applyBorder="1" applyAlignment="1">
      <alignment vertical="center"/>
    </xf>
    <xf numFmtId="191" fontId="17" fillId="0" borderId="28" xfId="0" applyNumberFormat="1" applyFont="1" applyBorder="1" applyAlignment="1">
      <alignment vertical="center"/>
    </xf>
    <xf numFmtId="191" fontId="17" fillId="0" borderId="67" xfId="0" applyNumberFormat="1" applyFont="1" applyBorder="1" applyAlignment="1">
      <alignment vertical="center"/>
    </xf>
    <xf numFmtId="191" fontId="17" fillId="0" borderId="25" xfId="0" applyNumberFormat="1" applyFont="1" applyBorder="1" applyAlignment="1">
      <alignment vertical="center"/>
    </xf>
    <xf numFmtId="191" fontId="17" fillId="0" borderId="24" xfId="0" applyNumberFormat="1" applyFont="1" applyBorder="1" applyAlignment="1">
      <alignment vertical="center"/>
    </xf>
    <xf numFmtId="191" fontId="17" fillId="0" borderId="35" xfId="0" applyNumberFormat="1" applyFont="1" applyBorder="1" applyAlignment="1">
      <alignment vertical="center"/>
    </xf>
    <xf numFmtId="191" fontId="17" fillId="0" borderId="45" xfId="0" applyNumberFormat="1" applyFont="1" applyBorder="1" applyAlignment="1">
      <alignment vertical="center"/>
    </xf>
    <xf numFmtId="191" fontId="17" fillId="0" borderId="100" xfId="0" applyNumberFormat="1" applyFont="1" applyBorder="1" applyAlignment="1">
      <alignment vertical="center"/>
    </xf>
    <xf numFmtId="191" fontId="17" fillId="0" borderId="47" xfId="0" applyNumberFormat="1" applyFont="1" applyBorder="1" applyAlignment="1">
      <alignment vertical="center"/>
    </xf>
    <xf numFmtId="191" fontId="17" fillId="0" borderId="48" xfId="0" applyNumberFormat="1" applyFont="1" applyBorder="1" applyAlignment="1">
      <alignment vertical="center"/>
    </xf>
    <xf numFmtId="191" fontId="17" fillId="0" borderId="101" xfId="0" applyNumberFormat="1" applyFont="1" applyBorder="1" applyAlignment="1">
      <alignment vertical="center"/>
    </xf>
    <xf numFmtId="0" fontId="17" fillId="0" borderId="22" xfId="0" applyFont="1" applyFill="1" applyBorder="1" applyAlignment="1">
      <alignment horizontal="center" textRotation="90"/>
    </xf>
    <xf numFmtId="190" fontId="17" fillId="0" borderId="33" xfId="0" applyNumberFormat="1" applyFont="1" applyBorder="1"/>
    <xf numFmtId="190" fontId="17" fillId="0" borderId="35" xfId="0" applyNumberFormat="1" applyFont="1" applyBorder="1"/>
    <xf numFmtId="190" fontId="17" fillId="0" borderId="93" xfId="0" applyNumberFormat="1" applyFont="1" applyBorder="1"/>
    <xf numFmtId="190" fontId="17" fillId="0" borderId="57" xfId="0" applyNumberFormat="1" applyFont="1" applyBorder="1"/>
    <xf numFmtId="0" fontId="16" fillId="0" borderId="0" xfId="0" applyFont="1" applyFill="1" applyAlignment="1">
      <alignment horizontal="center" vertical="center"/>
    </xf>
    <xf numFmtId="2" fontId="16" fillId="0" borderId="0" xfId="4" applyNumberFormat="1" applyFont="1" applyAlignment="1">
      <alignment horizontal="centerContinuous" vertical="center"/>
    </xf>
    <xf numFmtId="0" fontId="42" fillId="0" borderId="0" xfId="4" applyFont="1" applyFill="1" applyAlignment="1">
      <alignment horizontal="center" vertical="center"/>
    </xf>
    <xf numFmtId="2" fontId="18" fillId="0" borderId="0" xfId="4" applyNumberFormat="1" applyFont="1" applyAlignment="1">
      <alignment horizontal="centerContinuous" vertical="center"/>
    </xf>
    <xf numFmtId="0" fontId="11" fillId="0" borderId="0" xfId="4" applyFont="1"/>
    <xf numFmtId="0" fontId="18" fillId="0" borderId="0" xfId="4" applyFont="1"/>
    <xf numFmtId="2" fontId="13" fillId="0" borderId="0" xfId="4" applyNumberFormat="1" applyFont="1"/>
    <xf numFmtId="1" fontId="10" fillId="0" borderId="0" xfId="4" applyNumberFormat="1" applyFont="1"/>
    <xf numFmtId="2" fontId="10" fillId="0" borderId="0" xfId="4" applyNumberFormat="1" applyFont="1"/>
    <xf numFmtId="1" fontId="18" fillId="0" borderId="0" xfId="4" applyNumberFormat="1" applyFont="1"/>
    <xf numFmtId="1" fontId="18" fillId="0" borderId="21" xfId="4" applyNumberFormat="1" applyFont="1" applyBorder="1" applyAlignment="1">
      <alignment horizontal="center" vertical="center" wrapText="1"/>
    </xf>
    <xf numFmtId="1" fontId="18" fillId="0" borderId="53" xfId="4" applyNumberFormat="1" applyFont="1" applyBorder="1" applyAlignment="1">
      <alignment horizontal="center" vertical="center" wrapText="1"/>
    </xf>
    <xf numFmtId="2" fontId="18" fillId="0" borderId="22" xfId="4" applyNumberFormat="1" applyFont="1" applyBorder="1" applyAlignment="1">
      <alignment horizontal="center" vertical="center" wrapText="1"/>
    </xf>
    <xf numFmtId="2" fontId="16" fillId="0" borderId="0" xfId="4" applyNumberFormat="1" applyFont="1" applyBorder="1" applyAlignment="1">
      <alignment horizontal="center" vertical="center" wrapText="1"/>
    </xf>
    <xf numFmtId="0" fontId="19" fillId="0" borderId="0" xfId="4" applyFont="1"/>
    <xf numFmtId="1" fontId="13" fillId="0" borderId="5" xfId="4" applyNumberFormat="1" applyFont="1" applyBorder="1" applyAlignment="1">
      <alignment horizontal="center" vertical="center"/>
    </xf>
    <xf numFmtId="178" fontId="18" fillId="0" borderId="64" xfId="4" applyNumberFormat="1" applyFont="1" applyBorder="1" applyAlignment="1">
      <alignment vertical="center"/>
    </xf>
    <xf numFmtId="178" fontId="18" fillId="0" borderId="15" xfId="4" applyNumberFormat="1" applyFont="1" applyBorder="1" applyAlignment="1">
      <alignment horizontal="center" vertical="center"/>
    </xf>
    <xf numFmtId="178" fontId="18" fillId="0" borderId="15" xfId="4" applyNumberFormat="1" applyFont="1" applyBorder="1" applyAlignment="1">
      <alignment vertical="center"/>
    </xf>
    <xf numFmtId="2" fontId="16" fillId="0" borderId="0" xfId="4" applyNumberFormat="1" applyFont="1" applyBorder="1"/>
    <xf numFmtId="1" fontId="18" fillId="0" borderId="6" xfId="4" applyNumberFormat="1" applyFont="1" applyBorder="1" applyAlignment="1">
      <alignment vertical="center"/>
    </xf>
    <xf numFmtId="178" fontId="18" fillId="0" borderId="102" xfId="4" applyNumberFormat="1" applyFont="1" applyBorder="1" applyAlignment="1">
      <alignment vertical="center"/>
    </xf>
    <xf numFmtId="178" fontId="18" fillId="0" borderId="29" xfId="4" applyNumberFormat="1" applyFont="1" applyBorder="1" applyAlignment="1">
      <alignment vertical="center"/>
    </xf>
    <xf numFmtId="170" fontId="16" fillId="0" borderId="0" xfId="4" applyNumberFormat="1" applyFont="1" applyBorder="1" applyAlignment="1">
      <alignment vertical="center"/>
    </xf>
    <xf numFmtId="0" fontId="19" fillId="0" borderId="0" xfId="4" applyFont="1" applyAlignment="1">
      <alignment vertical="center"/>
    </xf>
    <xf numFmtId="1" fontId="18" fillId="0" borderId="6" xfId="4" applyNumberFormat="1" applyFont="1" applyBorder="1" applyAlignment="1">
      <alignment horizontal="left" vertical="center" wrapText="1"/>
    </xf>
    <xf numFmtId="170" fontId="16" fillId="0" borderId="0" xfId="4" applyNumberFormat="1" applyFont="1" applyFill="1" applyBorder="1" applyAlignment="1">
      <alignment vertical="center"/>
    </xf>
    <xf numFmtId="1" fontId="18" fillId="0" borderId="8" xfId="4" applyNumberFormat="1" applyFont="1" applyBorder="1" applyAlignment="1">
      <alignment horizontal="center" vertical="center"/>
    </xf>
    <xf numFmtId="1" fontId="13" fillId="0" borderId="7" xfId="4" applyNumberFormat="1" applyFont="1" applyBorder="1" applyAlignment="1">
      <alignment horizontal="center" vertical="center"/>
    </xf>
    <xf numFmtId="168" fontId="18" fillId="0" borderId="71" xfId="4" applyNumberFormat="1" applyFont="1" applyBorder="1" applyAlignment="1">
      <alignment vertical="center"/>
    </xf>
    <xf numFmtId="174" fontId="18" fillId="0" borderId="17" xfId="4" applyNumberFormat="1" applyFont="1" applyBorder="1" applyAlignment="1">
      <alignment vertical="center"/>
    </xf>
    <xf numFmtId="168" fontId="19" fillId="0" borderId="0" xfId="4" applyNumberFormat="1" applyFont="1" applyAlignment="1">
      <alignment vertical="center"/>
    </xf>
    <xf numFmtId="178" fontId="18" fillId="0" borderId="102" xfId="4" applyNumberFormat="1" applyFont="1" applyFill="1" applyBorder="1" applyAlignment="1">
      <alignment vertical="center"/>
    </xf>
    <xf numFmtId="178" fontId="18" fillId="0" borderId="29" xfId="4" applyNumberFormat="1" applyFont="1" applyFill="1" applyBorder="1" applyAlignment="1">
      <alignment vertical="center"/>
    </xf>
    <xf numFmtId="178" fontId="18" fillId="0" borderId="29" xfId="4" applyNumberFormat="1" applyFont="1" applyBorder="1" applyAlignment="1">
      <alignment horizontal="right" vertical="center"/>
    </xf>
    <xf numFmtId="1" fontId="18" fillId="0" borderId="7" xfId="4" applyNumberFormat="1" applyFont="1" applyBorder="1" applyAlignment="1">
      <alignment horizontal="center" vertical="center" wrapText="1"/>
    </xf>
    <xf numFmtId="1" fontId="41" fillId="0" borderId="10" xfId="4" applyNumberFormat="1" applyFont="1" applyBorder="1" applyAlignment="1">
      <alignment horizontal="center" vertical="center" wrapText="1"/>
    </xf>
    <xf numFmtId="174" fontId="18" fillId="0" borderId="92" xfId="4" applyNumberFormat="1" applyFont="1" applyBorder="1" applyAlignment="1">
      <alignment vertical="center"/>
    </xf>
    <xf numFmtId="174" fontId="18" fillId="0" borderId="44" xfId="4" applyNumberFormat="1" applyFont="1" applyBorder="1" applyAlignment="1">
      <alignment vertical="center"/>
    </xf>
    <xf numFmtId="1" fontId="18" fillId="0" borderId="9" xfId="4" applyNumberFormat="1" applyFont="1" applyBorder="1" applyAlignment="1">
      <alignment horizontal="left" vertical="center" wrapText="1"/>
    </xf>
    <xf numFmtId="178" fontId="18" fillId="0" borderId="25" xfId="4" applyNumberFormat="1" applyFont="1" applyFill="1" applyBorder="1" applyAlignment="1">
      <alignment vertical="center"/>
    </xf>
    <xf numFmtId="178" fontId="18" fillId="0" borderId="24" xfId="4" applyNumberFormat="1" applyFont="1" applyFill="1" applyBorder="1" applyAlignment="1">
      <alignment vertical="center"/>
    </xf>
    <xf numFmtId="170" fontId="20" fillId="0" borderId="0" xfId="4" applyNumberFormat="1" applyFont="1" applyBorder="1" applyAlignment="1">
      <alignment vertical="center"/>
    </xf>
    <xf numFmtId="0" fontId="24" fillId="0" borderId="0" xfId="4" applyFont="1"/>
    <xf numFmtId="1" fontId="13" fillId="0" borderId="12" xfId="4" applyNumberFormat="1" applyFont="1" applyBorder="1" applyAlignment="1">
      <alignment horizontal="center" vertical="center"/>
    </xf>
    <xf numFmtId="0" fontId="24" fillId="0" borderId="0" xfId="4" applyFont="1" applyAlignment="1">
      <alignment vertical="center"/>
    </xf>
    <xf numFmtId="1" fontId="18" fillId="0" borderId="0" xfId="4" applyNumberFormat="1" applyFont="1" applyAlignment="1">
      <alignment vertical="center"/>
    </xf>
    <xf numFmtId="2" fontId="18" fillId="0" borderId="0" xfId="4" applyNumberFormat="1" applyFont="1" applyAlignment="1">
      <alignment vertical="center"/>
    </xf>
    <xf numFmtId="2" fontId="11" fillId="0" borderId="0" xfId="4" applyNumberFormat="1" applyFont="1"/>
    <xf numFmtId="0" fontId="56" fillId="0" borderId="0" xfId="4" applyFont="1"/>
    <xf numFmtId="0" fontId="28" fillId="0" borderId="0" xfId="4" applyFont="1"/>
    <xf numFmtId="2" fontId="18" fillId="0" borderId="0" xfId="4" applyNumberFormat="1" applyFont="1"/>
    <xf numFmtId="1" fontId="18" fillId="0" borderId="0" xfId="4" applyNumberFormat="1" applyFont="1" applyAlignment="1">
      <alignment horizontal="center"/>
    </xf>
    <xf numFmtId="0" fontId="39" fillId="0" borderId="0" xfId="4" applyFont="1"/>
    <xf numFmtId="1" fontId="11" fillId="0" borderId="0" xfId="4" applyNumberFormat="1" applyFont="1"/>
    <xf numFmtId="1" fontId="11" fillId="0" borderId="0" xfId="4" applyNumberFormat="1" applyFont="1" applyAlignment="1">
      <alignment horizontal="center"/>
    </xf>
    <xf numFmtId="10" fontId="29" fillId="0" borderId="0" xfId="18" applyNumberFormat="1" applyFont="1" applyBorder="1" applyAlignment="1">
      <alignment horizontal="center" vertical="center"/>
    </xf>
    <xf numFmtId="0" fontId="30" fillId="0" borderId="103" xfId="9" applyFont="1" applyBorder="1" applyAlignment="1">
      <alignment horizontal="left"/>
    </xf>
    <xf numFmtId="0" fontId="17" fillId="0" borderId="103" xfId="9" applyFont="1" applyBorder="1" applyAlignment="1">
      <alignment horizontal="left"/>
    </xf>
    <xf numFmtId="0" fontId="30" fillId="0" borderId="103" xfId="9" applyFont="1" applyBorder="1" applyAlignment="1">
      <alignment horizontal="left" vertical="center"/>
    </xf>
    <xf numFmtId="0" fontId="17" fillId="0" borderId="103" xfId="9" applyFont="1" applyBorder="1" applyAlignment="1"/>
    <xf numFmtId="0" fontId="47" fillId="0" borderId="0" xfId="13" applyFont="1" applyAlignment="1">
      <alignment vertical="top"/>
    </xf>
    <xf numFmtId="10" fontId="17" fillId="0" borderId="28" xfId="13" applyNumberFormat="1" applyFont="1" applyBorder="1" applyAlignment="1">
      <alignment vertical="center"/>
    </xf>
    <xf numFmtId="10" fontId="17" fillId="0" borderId="29" xfId="13" applyNumberFormat="1" applyFont="1" applyBorder="1" applyAlignment="1">
      <alignment vertical="center"/>
    </xf>
    <xf numFmtId="10" fontId="17" fillId="0" borderId="24" xfId="13" applyNumberFormat="1" applyFont="1" applyBorder="1" applyAlignment="1">
      <alignment vertical="center"/>
    </xf>
    <xf numFmtId="10" fontId="17" fillId="0" borderId="47" xfId="13" applyNumberFormat="1" applyFont="1" applyBorder="1" applyAlignment="1">
      <alignment vertical="center"/>
    </xf>
    <xf numFmtId="10" fontId="17" fillId="0" borderId="0" xfId="13" applyNumberFormat="1" applyFont="1" applyBorder="1" applyAlignment="1">
      <alignment vertical="center"/>
    </xf>
    <xf numFmtId="10" fontId="17" fillId="0" borderId="34" xfId="13" applyNumberFormat="1" applyFont="1" applyBorder="1" applyAlignment="1">
      <alignment vertical="center"/>
    </xf>
    <xf numFmtId="10" fontId="17" fillId="0" borderId="35" xfId="13" applyNumberFormat="1" applyFont="1" applyBorder="1" applyAlignment="1">
      <alignment vertical="center"/>
    </xf>
    <xf numFmtId="10" fontId="17" fillId="0" borderId="48" xfId="13" applyNumberFormat="1" applyFont="1" applyBorder="1" applyAlignment="1">
      <alignment vertical="center"/>
    </xf>
    <xf numFmtId="178" fontId="17" fillId="0" borderId="28" xfId="4" applyNumberFormat="1" applyFont="1" applyBorder="1" applyAlignment="1">
      <alignment vertical="center"/>
    </xf>
    <xf numFmtId="178" fontId="17" fillId="0" borderId="24" xfId="4" applyNumberFormat="1" applyFont="1" applyBorder="1" applyAlignment="1">
      <alignment vertical="center"/>
    </xf>
    <xf numFmtId="1" fontId="17" fillId="0" borderId="29" xfId="4" applyNumberFormat="1" applyFont="1" applyBorder="1" applyAlignment="1">
      <alignment vertical="center"/>
    </xf>
    <xf numFmtId="178" fontId="17" fillId="0" borderId="47" xfId="4" applyNumberFormat="1" applyFont="1" applyBorder="1" applyAlignment="1">
      <alignment vertical="center"/>
    </xf>
    <xf numFmtId="0" fontId="68" fillId="0" borderId="0" xfId="13" applyFont="1"/>
    <xf numFmtId="10" fontId="39" fillId="0" borderId="0" xfId="13" applyNumberFormat="1" applyFont="1" applyBorder="1" applyAlignment="1">
      <alignment vertical="center"/>
    </xf>
    <xf numFmtId="0" fontId="8" fillId="0" borderId="0" xfId="4" applyAlignment="1">
      <alignment vertical="center"/>
    </xf>
    <xf numFmtId="178" fontId="17" fillId="0" borderId="15" xfId="4" applyNumberFormat="1" applyFont="1" applyBorder="1" applyAlignment="1">
      <alignment vertical="center"/>
    </xf>
    <xf numFmtId="188" fontId="17" fillId="0" borderId="0" xfId="4" applyNumberFormat="1" applyFont="1" applyAlignment="1">
      <alignment vertical="center"/>
    </xf>
    <xf numFmtId="1" fontId="18" fillId="0" borderId="51" xfId="0" applyNumberFormat="1" applyFont="1" applyBorder="1" applyAlignment="1">
      <alignment horizontal="center" vertical="center"/>
    </xf>
    <xf numFmtId="164" fontId="45" fillId="0" borderId="0" xfId="4" applyNumberFormat="1" applyFont="1" applyBorder="1" applyAlignment="1">
      <alignment vertical="center"/>
    </xf>
    <xf numFmtId="166" fontId="45" fillId="0" borderId="0" xfId="4" applyNumberFormat="1" applyFont="1" applyBorder="1" applyAlignment="1">
      <alignment vertical="center"/>
    </xf>
    <xf numFmtId="0" fontId="39" fillId="0" borderId="38" xfId="4" applyFont="1" applyBorder="1" applyAlignment="1">
      <alignment horizontal="right" vertical="center"/>
    </xf>
    <xf numFmtId="166" fontId="45" fillId="0" borderId="39" xfId="4" applyNumberFormat="1" applyFont="1" applyBorder="1" applyAlignment="1">
      <alignment vertical="center"/>
    </xf>
    <xf numFmtId="166" fontId="13" fillId="0" borderId="0" xfId="4" applyNumberFormat="1" applyFont="1" applyAlignment="1">
      <alignment horizontal="left"/>
    </xf>
    <xf numFmtId="1" fontId="45" fillId="0" borderId="6" xfId="4" quotePrefix="1" applyNumberFormat="1" applyFont="1" applyBorder="1" applyAlignment="1">
      <alignment horizontal="center" vertical="center"/>
    </xf>
    <xf numFmtId="164" fontId="17" fillId="0" borderId="29" xfId="4" applyNumberFormat="1" applyFont="1" applyBorder="1" applyAlignment="1">
      <alignment vertical="center"/>
    </xf>
    <xf numFmtId="1" fontId="37" fillId="0" borderId="38" xfId="4" applyNumberFormat="1" applyFont="1" applyBorder="1" applyAlignment="1">
      <alignment horizontal="left" vertical="center"/>
    </xf>
    <xf numFmtId="1" fontId="18" fillId="0" borderId="38" xfId="4" applyNumberFormat="1" applyFont="1" applyBorder="1" applyAlignment="1">
      <alignment horizontal="right" vertical="center"/>
    </xf>
    <xf numFmtId="164" fontId="45" fillId="0" borderId="32" xfId="4" applyNumberFormat="1" applyFont="1" applyBorder="1" applyAlignment="1">
      <alignment vertical="center"/>
    </xf>
    <xf numFmtId="0" fontId="39" fillId="0" borderId="20" xfId="0" applyFont="1" applyBorder="1" applyAlignment="1">
      <alignment horizontal="center" vertical="center" wrapText="1"/>
    </xf>
    <xf numFmtId="1" fontId="39" fillId="0" borderId="21" xfId="0" applyNumberFormat="1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39" fillId="0" borderId="3" xfId="0" applyNumberFormat="1" applyFont="1" applyBorder="1" applyAlignment="1">
      <alignment horizontal="center" vertical="center"/>
    </xf>
    <xf numFmtId="168" fontId="39" fillId="0" borderId="3" xfId="0" applyNumberFormat="1" applyFont="1" applyBorder="1" applyAlignment="1">
      <alignment horizontal="center" vertical="center" wrapText="1"/>
    </xf>
    <xf numFmtId="168" fontId="39" fillId="0" borderId="58" xfId="0" applyNumberFormat="1" applyFont="1" applyBorder="1" applyAlignment="1">
      <alignment horizontal="center" vertical="center" wrapText="1"/>
    </xf>
    <xf numFmtId="168" fontId="39" fillId="0" borderId="26" xfId="0" applyNumberFormat="1" applyFont="1" applyBorder="1" applyAlignment="1">
      <alignment horizontal="center" vertical="center" wrapText="1"/>
    </xf>
    <xf numFmtId="168" fontId="39" fillId="0" borderId="13" xfId="0" applyNumberFormat="1" applyFont="1" applyBorder="1" applyAlignment="1">
      <alignment horizontal="center" vertical="center" wrapText="1"/>
    </xf>
    <xf numFmtId="49" fontId="39" fillId="0" borderId="40" xfId="0" applyNumberFormat="1" applyFont="1" applyBorder="1" applyAlignment="1">
      <alignment horizontal="center" vertical="center"/>
    </xf>
    <xf numFmtId="1" fontId="39" fillId="0" borderId="28" xfId="0" applyNumberFormat="1" applyFont="1" applyBorder="1" applyAlignment="1">
      <alignment horizontal="left" vertical="center" wrapText="1"/>
    </xf>
    <xf numFmtId="168" fontId="39" fillId="0" borderId="28" xfId="0" applyNumberFormat="1" applyFont="1" applyBorder="1" applyAlignment="1">
      <alignment vertical="center"/>
    </xf>
    <xf numFmtId="168" fontId="39" fillId="0" borderId="99" xfId="0" applyNumberFormat="1" applyFont="1" applyBorder="1" applyAlignment="1">
      <alignment vertical="center"/>
    </xf>
    <xf numFmtId="168" fontId="39" fillId="0" borderId="98" xfId="0" applyNumberFormat="1" applyFont="1" applyBorder="1" applyAlignment="1">
      <alignment vertical="center"/>
    </xf>
    <xf numFmtId="168" fontId="39" fillId="0" borderId="33" xfId="0" applyNumberFormat="1" applyFont="1" applyBorder="1" applyAlignment="1">
      <alignment vertical="center"/>
    </xf>
    <xf numFmtId="49" fontId="39" fillId="0" borderId="41" xfId="0" applyNumberFormat="1" applyFont="1" applyBorder="1" applyAlignment="1">
      <alignment horizontal="center" vertical="center"/>
    </xf>
    <xf numFmtId="1" fontId="39" fillId="0" borderId="24" xfId="0" applyNumberFormat="1" applyFont="1" applyBorder="1" applyAlignment="1">
      <alignment horizontal="left" vertical="center" wrapText="1"/>
    </xf>
    <xf numFmtId="168" fontId="39" fillId="0" borderId="24" xfId="0" applyNumberFormat="1" applyFont="1" applyFill="1" applyBorder="1" applyAlignment="1">
      <alignment vertical="center"/>
    </xf>
    <xf numFmtId="168" fontId="39" fillId="0" borderId="67" xfId="0" applyNumberFormat="1" applyFont="1" applyBorder="1" applyAlignment="1">
      <alignment vertical="center"/>
    </xf>
    <xf numFmtId="168" fontId="39" fillId="0" borderId="24" xfId="0" applyNumberFormat="1" applyFont="1" applyBorder="1" applyAlignment="1">
      <alignment vertical="center"/>
    </xf>
    <xf numFmtId="168" fontId="39" fillId="0" borderId="25" xfId="0" applyNumberFormat="1" applyFont="1" applyBorder="1" applyAlignment="1">
      <alignment vertical="center"/>
    </xf>
    <xf numFmtId="168" fontId="39" fillId="0" borderId="35" xfId="0" applyNumberFormat="1" applyFont="1" applyBorder="1" applyAlignment="1">
      <alignment vertical="center"/>
    </xf>
    <xf numFmtId="49" fontId="39" fillId="0" borderId="104" xfId="0" applyNumberFormat="1" applyFont="1" applyBorder="1" applyAlignment="1">
      <alignment horizontal="center" vertical="center"/>
    </xf>
    <xf numFmtId="1" fontId="39" fillId="0" borderId="26" xfId="0" applyNumberFormat="1" applyFont="1" applyBorder="1" applyAlignment="1">
      <alignment horizontal="left" vertical="center" wrapText="1"/>
    </xf>
    <xf numFmtId="168" fontId="39" fillId="0" borderId="18" xfId="0" applyNumberFormat="1" applyFont="1" applyBorder="1" applyAlignment="1">
      <alignment vertical="center"/>
    </xf>
    <xf numFmtId="168" fontId="39" fillId="0" borderId="94" xfId="0" applyNumberFormat="1" applyFont="1" applyBorder="1" applyAlignment="1">
      <alignment vertical="center"/>
    </xf>
    <xf numFmtId="168" fontId="39" fillId="0" borderId="105" xfId="0" applyNumberFormat="1" applyFont="1" applyBorder="1" applyAlignment="1">
      <alignment vertical="center"/>
    </xf>
    <xf numFmtId="168" fontId="39" fillId="0" borderId="69" xfId="0" applyNumberFormat="1" applyFont="1" applyBorder="1" applyAlignment="1">
      <alignment vertical="center"/>
    </xf>
    <xf numFmtId="0" fontId="8" fillId="0" borderId="0" xfId="4" applyFont="1"/>
    <xf numFmtId="0" fontId="47" fillId="0" borderId="0" xfId="4" applyFont="1" applyAlignment="1">
      <alignment vertical="top"/>
    </xf>
    <xf numFmtId="1" fontId="45" fillId="0" borderId="20" xfId="4" applyNumberFormat="1" applyFont="1" applyBorder="1" applyAlignment="1">
      <alignment horizontal="centerContinuous" vertical="center"/>
    </xf>
    <xf numFmtId="1" fontId="45" fillId="0" borderId="21" xfId="4" applyNumberFormat="1" applyFont="1" applyBorder="1" applyAlignment="1">
      <alignment horizontal="centerContinuous" vertical="center"/>
    </xf>
    <xf numFmtId="1" fontId="45" fillId="0" borderId="22" xfId="4" applyNumberFormat="1" applyFont="1" applyBorder="1" applyAlignment="1">
      <alignment horizontal="centerContinuous" vertical="center"/>
    </xf>
    <xf numFmtId="1" fontId="45" fillId="0" borderId="3" xfId="4" applyNumberFormat="1" applyFont="1" applyBorder="1" applyAlignment="1">
      <alignment horizontal="center" vertical="center" wrapText="1"/>
    </xf>
    <xf numFmtId="1" fontId="45" fillId="0" borderId="13" xfId="4" applyNumberFormat="1" applyFont="1" applyBorder="1" applyAlignment="1">
      <alignment horizontal="center" vertical="center" wrapText="1"/>
    </xf>
    <xf numFmtId="0" fontId="17" fillId="0" borderId="30" xfId="4" applyFont="1" applyBorder="1" applyAlignment="1">
      <alignment horizontal="center" vertical="center"/>
    </xf>
    <xf numFmtId="1" fontId="17" fillId="0" borderId="28" xfId="4" applyNumberFormat="1" applyFont="1" applyBorder="1" applyAlignment="1">
      <alignment vertical="center" wrapText="1"/>
    </xf>
    <xf numFmtId="177" fontId="17" fillId="0" borderId="33" xfId="4" applyNumberFormat="1" applyFont="1" applyBorder="1" applyAlignment="1">
      <alignment vertical="center"/>
    </xf>
    <xf numFmtId="0" fontId="17" fillId="0" borderId="6" xfId="4" applyFont="1" applyBorder="1" applyAlignment="1">
      <alignment horizontal="center" vertical="center"/>
    </xf>
    <xf numFmtId="1" fontId="17" fillId="0" borderId="29" xfId="4" applyNumberFormat="1" applyFont="1" applyBorder="1" applyAlignment="1">
      <alignment vertical="center" wrapText="1"/>
    </xf>
    <xf numFmtId="177" fontId="17" fillId="0" borderId="34" xfId="4" applyNumberFormat="1" applyFont="1" applyBorder="1" applyAlignment="1">
      <alignment vertical="center"/>
    </xf>
    <xf numFmtId="177" fontId="17" fillId="0" borderId="0" xfId="4" applyNumberFormat="1" applyFont="1" applyBorder="1" applyAlignment="1">
      <alignment vertical="center"/>
    </xf>
    <xf numFmtId="174" fontId="8" fillId="0" borderId="0" xfId="4" applyNumberFormat="1"/>
    <xf numFmtId="0" fontId="17" fillId="0" borderId="10" xfId="4" applyFont="1" applyBorder="1" applyAlignment="1">
      <alignment horizontal="center" vertical="center"/>
    </xf>
    <xf numFmtId="1" fontId="17" fillId="0" borderId="44" xfId="4" applyNumberFormat="1" applyFont="1" applyBorder="1" applyAlignment="1">
      <alignment vertical="center" wrapText="1"/>
    </xf>
    <xf numFmtId="0" fontId="17" fillId="0" borderId="45" xfId="4" applyFont="1" applyBorder="1" applyAlignment="1">
      <alignment horizontal="center" vertical="center"/>
    </xf>
    <xf numFmtId="1" fontId="17" fillId="0" borderId="47" xfId="4" applyNumberFormat="1" applyFont="1" applyBorder="1" applyAlignment="1">
      <alignment vertical="center" wrapText="1"/>
    </xf>
    <xf numFmtId="177" fontId="17" fillId="0" borderId="48" xfId="4" applyNumberFormat="1" applyFont="1" applyBorder="1" applyAlignment="1">
      <alignment vertical="center"/>
    </xf>
    <xf numFmtId="0" fontId="11" fillId="0" borderId="0" xfId="4" applyFont="1" applyBorder="1" applyAlignment="1">
      <alignment horizontal="center"/>
    </xf>
    <xf numFmtId="1" fontId="11" fillId="0" borderId="0" xfId="4" applyNumberFormat="1" applyFont="1" applyBorder="1" applyAlignment="1">
      <alignment vertical="top" wrapText="1"/>
    </xf>
    <xf numFmtId="0" fontId="11" fillId="0" borderId="0" xfId="4" applyFont="1" applyAlignment="1">
      <alignment vertical="center"/>
    </xf>
    <xf numFmtId="0" fontId="11" fillId="0" borderId="0" xfId="4" applyFont="1" applyBorder="1" applyAlignment="1">
      <alignment vertical="center"/>
    </xf>
    <xf numFmtId="10" fontId="11" fillId="0" borderId="17" xfId="4" applyNumberFormat="1" applyFont="1" applyBorder="1" applyAlignment="1">
      <alignment vertical="center"/>
    </xf>
    <xf numFmtId="1" fontId="14" fillId="0" borderId="89" xfId="4" applyNumberFormat="1" applyFont="1" applyBorder="1" applyAlignment="1">
      <alignment horizontal="centerContinuous" vertical="center"/>
    </xf>
    <xf numFmtId="1" fontId="17" fillId="0" borderId="90" xfId="4" applyNumberFormat="1" applyFont="1" applyBorder="1" applyAlignment="1">
      <alignment horizontal="centerContinuous" vertical="center"/>
    </xf>
    <xf numFmtId="1" fontId="14" fillId="0" borderId="0" xfId="4" applyNumberFormat="1" applyFont="1" applyBorder="1" applyAlignment="1">
      <alignment horizontal="centerContinuous"/>
    </xf>
    <xf numFmtId="1" fontId="11" fillId="0" borderId="0" xfId="4" applyNumberFormat="1" applyFont="1" applyBorder="1" applyAlignment="1">
      <alignment horizontal="centerContinuous"/>
    </xf>
    <xf numFmtId="1" fontId="14" fillId="0" borderId="0" xfId="4" applyNumberFormat="1" applyFont="1" applyBorder="1" applyAlignment="1">
      <alignment vertical="center"/>
    </xf>
    <xf numFmtId="1" fontId="14" fillId="0" borderId="0" xfId="4" applyNumberFormat="1" applyFont="1" applyBorder="1" applyAlignment="1">
      <alignment horizontal="right" vertical="center"/>
    </xf>
    <xf numFmtId="10" fontId="14" fillId="0" borderId="0" xfId="4" applyNumberFormat="1" applyFont="1" applyBorder="1" applyAlignment="1">
      <alignment vertical="center"/>
    </xf>
    <xf numFmtId="0" fontId="45" fillId="0" borderId="0" xfId="8" applyFont="1" applyAlignment="1">
      <alignment vertical="center"/>
    </xf>
    <xf numFmtId="0" fontId="17" fillId="0" borderId="0" xfId="4" applyFont="1" applyAlignment="1">
      <alignment vertical="center"/>
    </xf>
    <xf numFmtId="0" fontId="22" fillId="0" borderId="0" xfId="4" applyFont="1" applyAlignment="1">
      <alignment vertical="center"/>
    </xf>
    <xf numFmtId="0" fontId="23" fillId="0" borderId="0" xfId="4" applyFont="1" applyAlignment="1">
      <alignment vertical="center"/>
    </xf>
    <xf numFmtId="0" fontId="15" fillId="0" borderId="0" xfId="4" applyFont="1"/>
    <xf numFmtId="0" fontId="8" fillId="0" borderId="0" xfId="4" applyFont="1" applyAlignment="1">
      <alignment vertical="center"/>
    </xf>
    <xf numFmtId="0" fontId="21" fillId="0" borderId="0" xfId="4" applyFont="1" applyAlignment="1">
      <alignment vertical="top"/>
    </xf>
    <xf numFmtId="1" fontId="45" fillId="0" borderId="21" xfId="4" applyNumberFormat="1" applyFont="1" applyBorder="1" applyAlignment="1">
      <alignment horizontal="left" vertical="center"/>
    </xf>
    <xf numFmtId="0" fontId="17" fillId="0" borderId="21" xfId="4" applyFont="1" applyBorder="1" applyAlignment="1">
      <alignment horizontal="center" vertical="center"/>
    </xf>
    <xf numFmtId="0" fontId="17" fillId="0" borderId="22" xfId="4" applyFont="1" applyBorder="1" applyAlignment="1">
      <alignment horizontal="center" vertical="center"/>
    </xf>
    <xf numFmtId="0" fontId="17" fillId="0" borderId="17" xfId="4" applyFont="1" applyBorder="1" applyAlignment="1">
      <alignment horizontal="center" vertical="center"/>
    </xf>
    <xf numFmtId="178" fontId="17" fillId="0" borderId="24" xfId="4" applyNumberFormat="1" applyFont="1" applyBorder="1" applyAlignment="1">
      <alignment horizontal="right" vertical="center"/>
    </xf>
    <xf numFmtId="178" fontId="17" fillId="0" borderId="44" xfId="4" applyNumberFormat="1" applyFont="1" applyBorder="1" applyAlignment="1">
      <alignment horizontal="right" vertical="center"/>
    </xf>
    <xf numFmtId="0" fontId="17" fillId="0" borderId="7" xfId="4" applyFont="1" applyBorder="1" applyAlignment="1">
      <alignment horizontal="center" vertical="center"/>
    </xf>
    <xf numFmtId="1" fontId="17" fillId="0" borderId="17" xfId="4" applyNumberFormat="1" applyFont="1" applyBorder="1" applyAlignment="1">
      <alignment vertical="center" wrapText="1"/>
    </xf>
    <xf numFmtId="178" fontId="17" fillId="0" borderId="47" xfId="4" applyNumberFormat="1" applyFont="1" applyBorder="1" applyAlignment="1">
      <alignment horizontal="right" vertical="center"/>
    </xf>
    <xf numFmtId="0" fontId="17" fillId="0" borderId="0" xfId="4" applyFont="1" applyBorder="1" applyAlignment="1">
      <alignment horizontal="center" vertical="center"/>
    </xf>
    <xf numFmtId="1" fontId="17" fillId="0" borderId="0" xfId="4" applyNumberFormat="1" applyFont="1" applyBorder="1" applyAlignment="1">
      <alignment vertical="center" wrapText="1"/>
    </xf>
    <xf numFmtId="1" fontId="39" fillId="0" borderId="89" xfId="4" applyNumberFormat="1" applyFont="1" applyBorder="1" applyAlignment="1">
      <alignment horizontal="centerContinuous" vertical="center"/>
    </xf>
    <xf numFmtId="0" fontId="39" fillId="0" borderId="0" xfId="4" applyFont="1" applyAlignment="1">
      <alignment horizontal="right" vertical="center"/>
    </xf>
    <xf numFmtId="0" fontId="15" fillId="0" borderId="0" xfId="4" applyFont="1" applyAlignment="1">
      <alignment vertical="center"/>
    </xf>
    <xf numFmtId="0" fontId="68" fillId="0" borderId="0" xfId="4" applyFont="1"/>
    <xf numFmtId="0" fontId="68" fillId="0" borderId="0" xfId="4" applyFont="1" applyAlignment="1">
      <alignment vertical="center"/>
    </xf>
    <xf numFmtId="1" fontId="17" fillId="0" borderId="21" xfId="4" applyNumberFormat="1" applyFont="1" applyBorder="1" applyAlignment="1">
      <alignment horizontal="center" vertical="center" wrapText="1"/>
    </xf>
    <xf numFmtId="1" fontId="17" fillId="0" borderId="3" xfId="4" applyNumberFormat="1" applyFont="1" applyBorder="1" applyAlignment="1">
      <alignment horizontal="center" vertical="center" wrapText="1"/>
    </xf>
    <xf numFmtId="1" fontId="17" fillId="0" borderId="13" xfId="4" applyNumberFormat="1" applyFont="1" applyBorder="1" applyAlignment="1">
      <alignment horizontal="center" vertical="center" wrapText="1"/>
    </xf>
    <xf numFmtId="181" fontId="17" fillId="0" borderId="33" xfId="4" applyNumberFormat="1" applyFont="1" applyBorder="1" applyAlignment="1">
      <alignment vertical="center"/>
    </xf>
    <xf numFmtId="181" fontId="17" fillId="0" borderId="35" xfId="4" applyNumberFormat="1" applyFont="1" applyBorder="1" applyAlignment="1">
      <alignment vertical="center"/>
    </xf>
    <xf numFmtId="178" fontId="17" fillId="0" borderId="29" xfId="4" applyNumberFormat="1" applyFont="1" applyBorder="1" applyAlignment="1">
      <alignment vertical="center"/>
    </xf>
    <xf numFmtId="181" fontId="17" fillId="0" borderId="34" xfId="4" applyNumberFormat="1" applyFont="1" applyBorder="1" applyAlignment="1">
      <alignment vertical="center"/>
    </xf>
    <xf numFmtId="181" fontId="17" fillId="0" borderId="48" xfId="4" applyNumberFormat="1" applyFont="1" applyBorder="1" applyAlignment="1">
      <alignment vertical="center"/>
    </xf>
    <xf numFmtId="0" fontId="17" fillId="0" borderId="0" xfId="4" applyFont="1"/>
    <xf numFmtId="178" fontId="22" fillId="0" borderId="0" xfId="4" applyNumberFormat="1" applyFont="1" applyAlignment="1">
      <alignment vertical="center"/>
    </xf>
    <xf numFmtId="178" fontId="22" fillId="0" borderId="0" xfId="4" applyNumberFormat="1" applyFont="1" applyFill="1" applyAlignment="1">
      <alignment vertical="center"/>
    </xf>
    <xf numFmtId="181" fontId="22" fillId="0" borderId="0" xfId="4" applyNumberFormat="1" applyFont="1"/>
    <xf numFmtId="1" fontId="39" fillId="0" borderId="89" xfId="4" applyNumberFormat="1" applyFont="1" applyBorder="1" applyAlignment="1">
      <alignment horizontal="centerContinuous"/>
    </xf>
    <xf numFmtId="1" fontId="39" fillId="0" borderId="90" xfId="4" applyNumberFormat="1" applyFont="1" applyBorder="1" applyAlignment="1">
      <alignment horizontal="centerContinuous" vertical="center"/>
    </xf>
    <xf numFmtId="178" fontId="17" fillId="0" borderId="49" xfId="4" applyNumberFormat="1" applyFont="1" applyBorder="1" applyAlignment="1">
      <alignment vertical="center"/>
    </xf>
    <xf numFmtId="176" fontId="17" fillId="0" borderId="49" xfId="4" applyNumberFormat="1" applyFont="1" applyBorder="1" applyAlignment="1">
      <alignment vertical="center"/>
    </xf>
    <xf numFmtId="181" fontId="17" fillId="0" borderId="50" xfId="4" applyNumberFormat="1" applyFont="1" applyBorder="1" applyAlignment="1">
      <alignment vertical="center"/>
    </xf>
    <xf numFmtId="1" fontId="14" fillId="0" borderId="0" xfId="4" applyNumberFormat="1" applyFont="1" applyBorder="1"/>
    <xf numFmtId="10" fontId="14" fillId="0" borderId="0" xfId="4" applyNumberFormat="1" applyFont="1" applyBorder="1"/>
    <xf numFmtId="0" fontId="14" fillId="0" borderId="0" xfId="4" applyFont="1"/>
    <xf numFmtId="1" fontId="11" fillId="0" borderId="90" xfId="4" applyNumberFormat="1" applyFont="1" applyBorder="1" applyAlignment="1">
      <alignment horizontal="centerContinuous" vertical="center"/>
    </xf>
    <xf numFmtId="174" fontId="11" fillId="0" borderId="49" xfId="4" applyNumberFormat="1" applyFont="1" applyBorder="1" applyAlignment="1">
      <alignment vertical="center"/>
    </xf>
    <xf numFmtId="177" fontId="11" fillId="0" borderId="50" xfId="4" applyNumberFormat="1" applyFont="1" applyBorder="1" applyAlignment="1">
      <alignment vertical="center"/>
    </xf>
    <xf numFmtId="171" fontId="37" fillId="0" borderId="19" xfId="18" applyNumberFormat="1" applyFont="1" applyBorder="1" applyAlignment="1">
      <alignment vertical="center"/>
    </xf>
    <xf numFmtId="171" fontId="37" fillId="0" borderId="46" xfId="18" applyNumberFormat="1" applyFont="1" applyBorder="1" applyAlignment="1">
      <alignment vertical="center"/>
    </xf>
    <xf numFmtId="171" fontId="37" fillId="0" borderId="106" xfId="18" applyNumberFormat="1" applyFont="1" applyBorder="1" applyAlignment="1">
      <alignment vertical="center"/>
    </xf>
    <xf numFmtId="178" fontId="17" fillId="0" borderId="21" xfId="4" applyNumberFormat="1" applyFont="1" applyBorder="1" applyAlignment="1">
      <alignment vertical="center"/>
    </xf>
    <xf numFmtId="0" fontId="17" fillId="0" borderId="9" xfId="4" applyFont="1" applyBorder="1" applyAlignment="1">
      <alignment horizontal="center" vertical="center"/>
    </xf>
    <xf numFmtId="1" fontId="17" fillId="0" borderId="24" xfId="4" applyNumberFormat="1" applyFont="1" applyBorder="1" applyAlignment="1">
      <alignment vertical="center" wrapText="1"/>
    </xf>
    <xf numFmtId="168" fontId="20" fillId="0" borderId="0" xfId="10" applyNumberFormat="1" applyFont="1" applyAlignment="1">
      <alignment vertical="center"/>
    </xf>
    <xf numFmtId="10" fontId="10" fillId="0" borderId="0" xfId="18" applyNumberFormat="1" applyFont="1"/>
    <xf numFmtId="0" fontId="13" fillId="0" borderId="0" xfId="10" applyFont="1" applyFill="1" applyAlignment="1">
      <alignment horizontal="left"/>
    </xf>
    <xf numFmtId="0" fontId="13" fillId="0" borderId="0" xfId="10" applyFont="1" applyFill="1"/>
    <xf numFmtId="0" fontId="8" fillId="0" borderId="0" xfId="10" applyFill="1"/>
    <xf numFmtId="0" fontId="17" fillId="0" borderId="79" xfId="10" applyFont="1" applyFill="1" applyBorder="1" applyAlignment="1">
      <alignment horizontal="center" vertical="center"/>
    </xf>
    <xf numFmtId="0" fontId="10" fillId="0" borderId="0" xfId="10" applyFont="1" applyFill="1"/>
    <xf numFmtId="174" fontId="17" fillId="0" borderId="67" xfId="10" applyNumberFormat="1" applyFont="1" applyFill="1" applyBorder="1" applyAlignment="1">
      <alignment vertical="center"/>
    </xf>
    <xf numFmtId="174" fontId="17" fillId="0" borderId="16" xfId="10" applyNumberFormat="1" applyFont="1" applyFill="1" applyBorder="1" applyAlignment="1">
      <alignment vertical="center"/>
    </xf>
    <xf numFmtId="1" fontId="10" fillId="0" borderId="88" xfId="10" applyNumberFormat="1" applyFont="1" applyFill="1" applyBorder="1" applyAlignment="1">
      <alignment horizontal="center" vertical="center"/>
    </xf>
    <xf numFmtId="0" fontId="16" fillId="0" borderId="0" xfId="10" applyFont="1" applyFill="1" applyBorder="1" applyAlignment="1">
      <alignment horizontal="center" vertical="center"/>
    </xf>
    <xf numFmtId="0" fontId="72" fillId="0" borderId="0" xfId="3" applyFont="1"/>
    <xf numFmtId="0" fontId="73" fillId="0" borderId="0" xfId="3" applyFont="1"/>
    <xf numFmtId="0" fontId="72" fillId="0" borderId="3" xfId="3" applyFont="1" applyBorder="1" applyAlignment="1">
      <alignment horizontal="center"/>
    </xf>
    <xf numFmtId="0" fontId="72" fillId="0" borderId="28" xfId="3" applyFont="1" applyBorder="1" applyAlignment="1">
      <alignment horizontal="center"/>
    </xf>
    <xf numFmtId="0" fontId="72" fillId="0" borderId="24" xfId="3" applyFont="1" applyBorder="1" applyAlignment="1">
      <alignment horizontal="center"/>
    </xf>
    <xf numFmtId="0" fontId="72" fillId="0" borderId="35" xfId="3" applyFont="1" applyBorder="1" applyAlignment="1">
      <alignment horizontal="center"/>
    </xf>
    <xf numFmtId="0" fontId="70" fillId="0" borderId="34" xfId="3" applyBorder="1" applyAlignment="1">
      <alignment horizontal="center"/>
    </xf>
    <xf numFmtId="0" fontId="72" fillId="0" borderId="48" xfId="3" applyFont="1" applyBorder="1" applyAlignment="1">
      <alignment horizontal="center"/>
    </xf>
    <xf numFmtId="0" fontId="70" fillId="14" borderId="3" xfId="3" applyFill="1" applyBorder="1"/>
    <xf numFmtId="0" fontId="8" fillId="0" borderId="0" xfId="10" applyAlignment="1"/>
    <xf numFmtId="0" fontId="16" fillId="0" borderId="0" xfId="10" applyFont="1" applyAlignment="1"/>
    <xf numFmtId="0" fontId="58" fillId="0" borderId="0" xfId="0" applyFont="1" applyFill="1" applyAlignment="1">
      <alignment vertical="center"/>
    </xf>
    <xf numFmtId="0" fontId="59" fillId="0" borderId="0" xfId="0" applyFont="1" applyFill="1" applyAlignment="1"/>
    <xf numFmtId="0" fontId="59" fillId="0" borderId="0" xfId="0" applyFont="1" applyFill="1" applyAlignment="1">
      <alignment horizontal="centerContinuous"/>
    </xf>
    <xf numFmtId="0" fontId="73" fillId="0" borderId="24" xfId="3" applyFont="1" applyBorder="1" applyAlignment="1">
      <alignment horizontal="center"/>
    </xf>
    <xf numFmtId="0" fontId="72" fillId="0" borderId="24" xfId="3" applyFont="1" applyFill="1" applyBorder="1" applyAlignment="1">
      <alignment horizontal="center"/>
    </xf>
    <xf numFmtId="0" fontId="74" fillId="0" borderId="0" xfId="3" applyFont="1" applyBorder="1"/>
    <xf numFmtId="0" fontId="72" fillId="0" borderId="20" xfId="3" applyFont="1" applyBorder="1"/>
    <xf numFmtId="0" fontId="72" fillId="0" borderId="13" xfId="3" applyFont="1" applyBorder="1" applyAlignment="1">
      <alignment horizontal="center"/>
    </xf>
    <xf numFmtId="0" fontId="72" fillId="0" borderId="30" xfId="3" applyFont="1" applyBorder="1" applyAlignment="1">
      <alignment horizontal="center"/>
    </xf>
    <xf numFmtId="0" fontId="72" fillId="0" borderId="9" xfId="3" applyFont="1" applyBorder="1" applyAlignment="1">
      <alignment horizontal="center"/>
    </xf>
    <xf numFmtId="0" fontId="72" fillId="0" borderId="45" xfId="3" applyFont="1" applyBorder="1" applyAlignment="1">
      <alignment horizontal="center"/>
    </xf>
    <xf numFmtId="0" fontId="72" fillId="0" borderId="47" xfId="3" applyFont="1" applyFill="1" applyBorder="1" applyAlignment="1">
      <alignment horizontal="center"/>
    </xf>
    <xf numFmtId="0" fontId="72" fillId="0" borderId="47" xfId="3" applyFont="1" applyBorder="1" applyAlignment="1">
      <alignment horizontal="center"/>
    </xf>
    <xf numFmtId="0" fontId="37" fillId="0" borderId="0" xfId="10" applyFont="1" applyBorder="1" applyAlignment="1">
      <alignment vertical="center"/>
    </xf>
    <xf numFmtId="0" fontId="72" fillId="0" borderId="0" xfId="3" applyFont="1" applyAlignment="1">
      <alignment vertical="center"/>
    </xf>
    <xf numFmtId="0" fontId="72" fillId="0" borderId="22" xfId="3" applyFont="1" applyBorder="1" applyAlignment="1">
      <alignment horizontal="center" vertical="center" wrapText="1"/>
    </xf>
    <xf numFmtId="0" fontId="72" fillId="0" borderId="20" xfId="3" applyFont="1" applyBorder="1" applyAlignment="1">
      <alignment horizontal="center" vertical="center" wrapText="1"/>
    </xf>
    <xf numFmtId="0" fontId="72" fillId="0" borderId="21" xfId="3" applyFont="1" applyBorder="1" applyAlignment="1">
      <alignment horizontal="center" vertical="center" wrapText="1"/>
    </xf>
    <xf numFmtId="0" fontId="73" fillId="0" borderId="21" xfId="3" applyFont="1" applyBorder="1" applyAlignment="1">
      <alignment horizontal="center" vertical="center" wrapText="1"/>
    </xf>
    <xf numFmtId="0" fontId="72" fillId="0" borderId="19" xfId="3" applyFont="1" applyBorder="1" applyAlignment="1">
      <alignment horizontal="center"/>
    </xf>
    <xf numFmtId="0" fontId="73" fillId="14" borderId="24" xfId="3" applyFont="1" applyFill="1" applyBorder="1" applyAlignment="1">
      <alignment horizontal="center"/>
    </xf>
    <xf numFmtId="0" fontId="73" fillId="0" borderId="21" xfId="3" applyFont="1" applyBorder="1" applyAlignment="1">
      <alignment vertical="center" wrapText="1"/>
    </xf>
    <xf numFmtId="0" fontId="72" fillId="0" borderId="6" xfId="3" applyFont="1" applyBorder="1" applyAlignment="1">
      <alignment horizontal="center"/>
    </xf>
    <xf numFmtId="0" fontId="76" fillId="0" borderId="29" xfId="3" applyFont="1" applyBorder="1" applyAlignment="1">
      <alignment horizontal="center"/>
    </xf>
    <xf numFmtId="0" fontId="73" fillId="0" borderId="47" xfId="3" applyFont="1" applyBorder="1" applyAlignment="1">
      <alignment horizontal="center"/>
    </xf>
    <xf numFmtId="0" fontId="59" fillId="9" borderId="0" xfId="0" applyFont="1" applyFill="1" applyAlignment="1">
      <alignment horizontal="centerContinuous" vertical="center"/>
    </xf>
    <xf numFmtId="1" fontId="60" fillId="9" borderId="0" xfId="0" applyNumberFormat="1" applyFont="1" applyFill="1" applyAlignment="1">
      <alignment horizontal="centerContinuous" vertical="center"/>
    </xf>
    <xf numFmtId="0" fontId="61" fillId="9" borderId="0" xfId="2" applyFont="1" applyFill="1" applyAlignment="1">
      <alignment horizontal="centerContinuous" vertical="center"/>
    </xf>
    <xf numFmtId="0" fontId="61" fillId="9" borderId="0" xfId="2" applyFont="1" applyFill="1" applyBorder="1" applyAlignment="1">
      <alignment horizontal="centerContinuous" vertical="center"/>
    </xf>
    <xf numFmtId="15" fontId="61" fillId="9" borderId="0" xfId="2" applyNumberFormat="1" applyFont="1" applyFill="1" applyAlignment="1">
      <alignment horizontal="centerContinuous" vertical="center"/>
    </xf>
    <xf numFmtId="0" fontId="11" fillId="0" borderId="0" xfId="2" applyFont="1" applyFill="1" applyAlignment="1">
      <alignment horizontal="center" vertical="center" wrapText="1"/>
    </xf>
    <xf numFmtId="1" fontId="10" fillId="0" borderId="107" xfId="10" applyNumberFormat="1" applyFont="1" applyBorder="1" applyAlignment="1">
      <alignment horizontal="center" vertical="center"/>
    </xf>
    <xf numFmtId="10" fontId="70" fillId="0" borderId="0" xfId="3" applyNumberFormat="1"/>
    <xf numFmtId="164" fontId="45" fillId="0" borderId="29" xfId="0" applyNumberFormat="1" applyFont="1" applyFill="1" applyBorder="1" applyAlignment="1">
      <alignment vertical="center"/>
    </xf>
    <xf numFmtId="0" fontId="78" fillId="0" borderId="0" xfId="4" applyFont="1"/>
    <xf numFmtId="174" fontId="19" fillId="0" borderId="0" xfId="15" applyNumberFormat="1" applyFont="1" applyAlignment="1">
      <alignment vertical="center"/>
    </xf>
    <xf numFmtId="0" fontId="78" fillId="0" borderId="0" xfId="0" applyFont="1"/>
    <xf numFmtId="0" fontId="79" fillId="0" borderId="0" xfId="3" applyFont="1"/>
    <xf numFmtId="0" fontId="17" fillId="15" borderId="15" xfId="3" applyFont="1" applyFill="1" applyBorder="1" applyAlignment="1">
      <alignment horizontal="center" vertical="center"/>
    </xf>
    <xf numFmtId="0" fontId="17" fillId="15" borderId="14" xfId="3" applyFont="1" applyFill="1" applyBorder="1" applyAlignment="1">
      <alignment horizontal="center" vertical="center"/>
    </xf>
    <xf numFmtId="187" fontId="17" fillId="15" borderId="15" xfId="2" applyNumberFormat="1" applyFont="1" applyFill="1" applyBorder="1" applyAlignment="1">
      <alignment vertical="center"/>
    </xf>
    <xf numFmtId="187" fontId="17" fillId="15" borderId="14" xfId="2" applyNumberFormat="1" applyFont="1" applyFill="1" applyBorder="1" applyAlignment="1">
      <alignment vertical="center"/>
    </xf>
    <xf numFmtId="187" fontId="17" fillId="15" borderId="24" xfId="2" applyNumberFormat="1" applyFont="1" applyFill="1" applyBorder="1" applyAlignment="1">
      <alignment vertical="center"/>
    </xf>
    <xf numFmtId="187" fontId="17" fillId="15" borderId="35" xfId="2" applyNumberFormat="1" applyFont="1" applyFill="1" applyBorder="1" applyAlignment="1">
      <alignment vertical="center"/>
    </xf>
    <xf numFmtId="187" fontId="17" fillId="15" borderId="80" xfId="2" applyNumberFormat="1" applyFont="1" applyFill="1" applyBorder="1" applyAlignment="1">
      <alignment vertical="center"/>
    </xf>
    <xf numFmtId="187" fontId="17" fillId="15" borderId="109" xfId="2" applyNumberFormat="1" applyFont="1" applyFill="1" applyBorder="1" applyAlignment="1">
      <alignment vertical="center"/>
    </xf>
    <xf numFmtId="187" fontId="17" fillId="15" borderId="3" xfId="2" applyNumberFormat="1" applyFont="1" applyFill="1" applyBorder="1" applyAlignment="1">
      <alignment vertical="center"/>
    </xf>
    <xf numFmtId="187" fontId="17" fillId="15" borderId="13" xfId="2" applyNumberFormat="1" applyFont="1" applyFill="1" applyBorder="1" applyAlignment="1">
      <alignment vertical="center"/>
    </xf>
    <xf numFmtId="187" fontId="17" fillId="15" borderId="18" xfId="2" applyNumberFormat="1" applyFont="1" applyFill="1" applyBorder="1" applyAlignment="1">
      <alignment vertical="center"/>
    </xf>
    <xf numFmtId="187" fontId="17" fillId="15" borderId="69" xfId="2" applyNumberFormat="1" applyFont="1" applyFill="1" applyBorder="1" applyAlignment="1">
      <alignment vertical="center"/>
    </xf>
    <xf numFmtId="187" fontId="17" fillId="15" borderId="26" xfId="2" applyNumberFormat="1" applyFont="1" applyFill="1" applyBorder="1" applyAlignment="1">
      <alignment vertical="center"/>
    </xf>
    <xf numFmtId="187" fontId="17" fillId="15" borderId="73" xfId="2" applyNumberFormat="1" applyFont="1" applyFill="1" applyBorder="1" applyAlignment="1">
      <alignment vertical="center"/>
    </xf>
    <xf numFmtId="187" fontId="17" fillId="15" borderId="81" xfId="2" applyNumberFormat="1" applyFont="1" applyFill="1" applyBorder="1" applyAlignment="1">
      <alignment vertical="center"/>
    </xf>
    <xf numFmtId="187" fontId="17" fillId="15" borderId="110" xfId="2" applyNumberFormat="1" applyFont="1" applyFill="1" applyBorder="1" applyAlignment="1">
      <alignment vertical="center"/>
    </xf>
    <xf numFmtId="174" fontId="17" fillId="15" borderId="9" xfId="10" applyNumberFormat="1" applyFont="1" applyFill="1" applyBorder="1" applyAlignment="1">
      <alignment vertical="center"/>
    </xf>
    <xf numFmtId="174" fontId="17" fillId="15" borderId="24" xfId="10" applyNumberFormat="1" applyFont="1" applyFill="1" applyBorder="1" applyAlignment="1">
      <alignment vertical="center"/>
    </xf>
    <xf numFmtId="185" fontId="17" fillId="15" borderId="24" xfId="10" applyNumberFormat="1" applyFont="1" applyFill="1" applyBorder="1" applyAlignment="1">
      <alignment vertical="center"/>
    </xf>
    <xf numFmtId="185" fontId="17" fillId="15" borderId="35" xfId="10" applyNumberFormat="1" applyFont="1" applyFill="1" applyBorder="1" applyAlignment="1">
      <alignment vertical="center"/>
    </xf>
    <xf numFmtId="174" fontId="17" fillId="15" borderId="7" xfId="10" applyNumberFormat="1" applyFont="1" applyFill="1" applyBorder="1" applyAlignment="1">
      <alignment vertical="center"/>
    </xf>
    <xf numFmtId="174" fontId="17" fillId="15" borderId="17" xfId="10" applyNumberFormat="1" applyFont="1" applyFill="1" applyBorder="1" applyAlignment="1">
      <alignment vertical="center"/>
    </xf>
    <xf numFmtId="185" fontId="17" fillId="15" borderId="17" xfId="10" applyNumberFormat="1" applyFont="1" applyFill="1" applyBorder="1" applyAlignment="1">
      <alignment vertical="center"/>
    </xf>
    <xf numFmtId="185" fontId="17" fillId="15" borderId="72" xfId="10" applyNumberFormat="1" applyFont="1" applyFill="1" applyBorder="1" applyAlignment="1">
      <alignment vertical="center"/>
    </xf>
    <xf numFmtId="174" fontId="17" fillId="15" borderId="19" xfId="10" applyNumberFormat="1" applyFont="1" applyFill="1" applyBorder="1" applyAlignment="1">
      <alignment vertical="center"/>
    </xf>
    <xf numFmtId="174" fontId="17" fillId="15" borderId="46" xfId="10" applyNumberFormat="1" applyFont="1" applyFill="1" applyBorder="1" applyAlignment="1">
      <alignment vertical="center"/>
    </xf>
    <xf numFmtId="185" fontId="17" fillId="15" borderId="46" xfId="10" applyNumberFormat="1" applyFont="1" applyFill="1" applyBorder="1" applyAlignment="1">
      <alignment vertical="center"/>
    </xf>
    <xf numFmtId="185" fontId="17" fillId="15" borderId="106" xfId="10" applyNumberFormat="1" applyFont="1" applyFill="1" applyBorder="1" applyAlignment="1">
      <alignment vertical="center"/>
    </xf>
    <xf numFmtId="174" fontId="17" fillId="15" borderId="88" xfId="10" applyNumberFormat="1" applyFont="1" applyFill="1" applyBorder="1" applyAlignment="1">
      <alignment vertical="center"/>
    </xf>
    <xf numFmtId="174" fontId="17" fillId="15" borderId="111" xfId="10" applyNumberFormat="1" applyFont="1" applyFill="1" applyBorder="1" applyAlignment="1">
      <alignment vertical="center"/>
    </xf>
    <xf numFmtId="174" fontId="17" fillId="15" borderId="106" xfId="10" applyNumberFormat="1" applyFont="1" applyFill="1" applyBorder="1" applyAlignment="1">
      <alignment vertical="center"/>
    </xf>
    <xf numFmtId="1" fontId="18" fillId="15" borderId="4" xfId="0" applyNumberFormat="1" applyFont="1" applyFill="1" applyBorder="1" applyAlignment="1">
      <alignment horizontal="right" vertical="center"/>
    </xf>
    <xf numFmtId="1" fontId="18" fillId="15" borderId="14" xfId="0" applyNumberFormat="1" applyFont="1" applyFill="1" applyBorder="1" applyAlignment="1">
      <alignment vertical="center"/>
    </xf>
    <xf numFmtId="182" fontId="18" fillId="15" borderId="17" xfId="0" applyNumberFormat="1" applyFont="1" applyFill="1" applyBorder="1" applyAlignment="1">
      <alignment horizontal="right" vertical="center"/>
    </xf>
    <xf numFmtId="10" fontId="18" fillId="15" borderId="72" xfId="0" applyNumberFormat="1" applyFont="1" applyFill="1" applyBorder="1" applyAlignment="1">
      <alignment horizontal="center" vertical="center"/>
    </xf>
    <xf numFmtId="182" fontId="18" fillId="15" borderId="18" xfId="0" applyNumberFormat="1" applyFont="1" applyFill="1" applyBorder="1" applyAlignment="1">
      <alignment horizontal="right" vertical="center"/>
    </xf>
    <xf numFmtId="10" fontId="18" fillId="15" borderId="69" xfId="0" applyNumberFormat="1" applyFont="1" applyFill="1" applyBorder="1" applyAlignment="1">
      <alignment horizontal="center" vertical="center"/>
    </xf>
    <xf numFmtId="182" fontId="18" fillId="15" borderId="16" xfId="0" applyNumberFormat="1" applyFont="1" applyFill="1" applyBorder="1" applyAlignment="1">
      <alignment horizontal="right" vertical="center"/>
    </xf>
    <xf numFmtId="168" fontId="18" fillId="15" borderId="72" xfId="0" applyNumberFormat="1" applyFont="1" applyFill="1" applyBorder="1" applyAlignment="1">
      <alignment vertical="center"/>
    </xf>
    <xf numFmtId="182" fontId="18" fillId="15" borderId="3" xfId="0" applyNumberFormat="1" applyFont="1" applyFill="1" applyBorder="1" applyAlignment="1">
      <alignment horizontal="right" vertical="center"/>
    </xf>
    <xf numFmtId="10" fontId="18" fillId="15" borderId="57" xfId="0" applyNumberFormat="1" applyFont="1" applyFill="1" applyBorder="1" applyAlignment="1">
      <alignment horizontal="center" vertical="center"/>
    </xf>
    <xf numFmtId="183" fontId="18" fillId="15" borderId="27" xfId="0" applyNumberFormat="1" applyFont="1" applyFill="1" applyBorder="1" applyAlignment="1">
      <alignment horizontal="right" vertical="center"/>
    </xf>
    <xf numFmtId="10" fontId="18" fillId="15" borderId="12" xfId="18" applyNumberFormat="1" applyFont="1" applyFill="1" applyBorder="1" applyAlignment="1">
      <alignment horizontal="center" vertical="center"/>
    </xf>
    <xf numFmtId="10" fontId="18" fillId="15" borderId="27" xfId="18" applyNumberFormat="1" applyFont="1" applyFill="1" applyBorder="1" applyAlignment="1">
      <alignment horizontal="center" vertical="center"/>
    </xf>
    <xf numFmtId="10" fontId="18" fillId="15" borderId="57" xfId="18" applyNumberFormat="1" applyFont="1" applyFill="1" applyBorder="1" applyAlignment="1">
      <alignment horizontal="center" vertical="center"/>
    </xf>
    <xf numFmtId="164" fontId="45" fillId="15" borderId="15" xfId="4" applyNumberFormat="1" applyFont="1" applyFill="1" applyBorder="1" applyAlignment="1">
      <alignment vertical="center"/>
    </xf>
    <xf numFmtId="164" fontId="45" fillId="15" borderId="3" xfId="4" applyNumberFormat="1" applyFont="1" applyFill="1" applyBorder="1" applyAlignment="1">
      <alignment vertical="center"/>
    </xf>
    <xf numFmtId="164" fontId="45" fillId="15" borderId="33" xfId="4" applyNumberFormat="1" applyFont="1" applyFill="1" applyBorder="1" applyAlignment="1">
      <alignment vertical="center"/>
    </xf>
    <xf numFmtId="164" fontId="45" fillId="15" borderId="34" xfId="4" applyNumberFormat="1" applyFont="1" applyFill="1" applyBorder="1" applyAlignment="1">
      <alignment vertical="center"/>
    </xf>
    <xf numFmtId="182" fontId="45" fillId="15" borderId="15" xfId="4" applyNumberFormat="1" applyFont="1" applyFill="1" applyBorder="1"/>
    <xf numFmtId="182" fontId="45" fillId="15" borderId="13" xfId="4" applyNumberFormat="1" applyFont="1" applyFill="1" applyBorder="1"/>
    <xf numFmtId="181" fontId="45" fillId="15" borderId="86" xfId="18" applyNumberFormat="1" applyFont="1" applyFill="1" applyBorder="1" applyAlignment="1">
      <alignment horizontal="right"/>
    </xf>
    <xf numFmtId="181" fontId="45" fillId="15" borderId="27" xfId="18" applyNumberFormat="1" applyFont="1" applyFill="1" applyBorder="1" applyAlignment="1">
      <alignment horizontal="right"/>
    </xf>
    <xf numFmtId="181" fontId="45" fillId="15" borderId="57" xfId="18" applyNumberFormat="1" applyFont="1" applyFill="1" applyBorder="1" applyAlignment="1">
      <alignment horizontal="right"/>
    </xf>
    <xf numFmtId="164" fontId="45" fillId="15" borderId="35" xfId="4" applyNumberFormat="1" applyFont="1" applyFill="1" applyBorder="1" applyAlignment="1">
      <alignment vertical="center"/>
    </xf>
    <xf numFmtId="164" fontId="45" fillId="15" borderId="13" xfId="4" applyNumberFormat="1" applyFont="1" applyFill="1" applyBorder="1"/>
    <xf numFmtId="181" fontId="45" fillId="15" borderId="57" xfId="18" applyNumberFormat="1" applyFont="1" applyFill="1" applyBorder="1" applyAlignment="1"/>
    <xf numFmtId="164" fontId="45" fillId="15" borderId="15" xfId="4" applyNumberFormat="1" applyFont="1" applyFill="1" applyBorder="1"/>
    <xf numFmtId="164" fontId="45" fillId="15" borderId="3" xfId="4" applyNumberFormat="1" applyFont="1" applyFill="1" applyBorder="1"/>
    <xf numFmtId="181" fontId="45" fillId="15" borderId="86" xfId="18" applyNumberFormat="1" applyFont="1" applyFill="1" applyBorder="1" applyAlignment="1"/>
    <xf numFmtId="181" fontId="45" fillId="15" borderId="27" xfId="18" applyNumberFormat="1" applyFont="1" applyFill="1" applyBorder="1" applyAlignment="1"/>
    <xf numFmtId="190" fontId="17" fillId="15" borderId="33" xfId="0" applyNumberFormat="1" applyFont="1" applyFill="1" applyBorder="1" applyAlignment="1">
      <alignment vertical="center"/>
    </xf>
    <xf numFmtId="190" fontId="17" fillId="15" borderId="35" xfId="0" applyNumberFormat="1" applyFont="1" applyFill="1" applyBorder="1" applyAlignment="1">
      <alignment vertical="center"/>
    </xf>
    <xf numFmtId="2" fontId="18" fillId="15" borderId="14" xfId="4" applyNumberFormat="1" applyFont="1" applyFill="1" applyBorder="1" applyAlignment="1">
      <alignment vertical="center"/>
    </xf>
    <xf numFmtId="165" fontId="18" fillId="15" borderId="34" xfId="4" applyNumberFormat="1" applyFont="1" applyFill="1" applyBorder="1" applyAlignment="1">
      <alignment vertical="center"/>
    </xf>
    <xf numFmtId="165" fontId="18" fillId="15" borderId="69" xfId="4" applyNumberFormat="1" applyFont="1" applyFill="1" applyBorder="1" applyAlignment="1">
      <alignment vertical="center"/>
    </xf>
    <xf numFmtId="170" fontId="18" fillId="15" borderId="72" xfId="4" applyNumberFormat="1" applyFont="1" applyFill="1" applyBorder="1" applyAlignment="1">
      <alignment vertical="center"/>
    </xf>
    <xf numFmtId="170" fontId="18" fillId="15" borderId="93" xfId="4" applyNumberFormat="1" applyFont="1" applyFill="1" applyBorder="1" applyAlignment="1">
      <alignment vertical="center"/>
    </xf>
    <xf numFmtId="178" fontId="18" fillId="15" borderId="105" xfId="4" applyNumberFormat="1" applyFont="1" applyFill="1" applyBorder="1" applyAlignment="1">
      <alignment vertical="center"/>
    </xf>
    <xf numFmtId="178" fontId="18" fillId="15" borderId="18" xfId="4" applyNumberFormat="1" applyFont="1" applyFill="1" applyBorder="1" applyAlignment="1">
      <alignment vertical="center"/>
    </xf>
    <xf numFmtId="178" fontId="18" fillId="15" borderId="71" xfId="4" applyNumberFormat="1" applyFont="1" applyFill="1" applyBorder="1" applyAlignment="1">
      <alignment vertical="center"/>
    </xf>
    <xf numFmtId="178" fontId="18" fillId="15" borderId="17" xfId="4" applyNumberFormat="1" applyFont="1" applyFill="1" applyBorder="1" applyAlignment="1">
      <alignment vertical="center"/>
    </xf>
    <xf numFmtId="178" fontId="18" fillId="15" borderId="92" xfId="4" applyNumberFormat="1" applyFont="1" applyFill="1" applyBorder="1" applyAlignment="1">
      <alignment vertical="center"/>
    </xf>
    <xf numFmtId="178" fontId="18" fillId="15" borderId="46" xfId="4" applyNumberFormat="1" applyFont="1" applyFill="1" applyBorder="1" applyAlignment="1">
      <alignment vertical="center"/>
    </xf>
    <xf numFmtId="178" fontId="18" fillId="15" borderId="3" xfId="4" applyNumberFormat="1" applyFont="1" applyFill="1" applyBorder="1" applyAlignment="1">
      <alignment vertical="center"/>
    </xf>
    <xf numFmtId="165" fontId="18" fillId="15" borderId="106" xfId="4" applyNumberFormat="1" applyFont="1" applyFill="1" applyBorder="1" applyAlignment="1">
      <alignment vertical="center"/>
    </xf>
    <xf numFmtId="181" fontId="18" fillId="15" borderId="12" xfId="18" applyNumberFormat="1" applyFont="1" applyFill="1" applyBorder="1" applyAlignment="1">
      <alignment vertical="center"/>
    </xf>
    <xf numFmtId="181" fontId="18" fillId="15" borderId="57" xfId="18" applyNumberFormat="1" applyFont="1" applyFill="1" applyBorder="1" applyAlignment="1">
      <alignment vertical="center"/>
    </xf>
    <xf numFmtId="178" fontId="17" fillId="15" borderId="49" xfId="13" applyNumberFormat="1" applyFont="1" applyFill="1" applyBorder="1" applyAlignment="1">
      <alignment vertical="center"/>
    </xf>
    <xf numFmtId="178" fontId="17" fillId="15" borderId="21" xfId="13" applyNumberFormat="1" applyFont="1" applyFill="1" applyBorder="1" applyAlignment="1">
      <alignment vertical="center"/>
    </xf>
    <xf numFmtId="10" fontId="17" fillId="15" borderId="49" xfId="13" applyNumberFormat="1" applyFont="1" applyFill="1" applyBorder="1" applyAlignment="1">
      <alignment vertical="center"/>
    </xf>
    <xf numFmtId="10" fontId="17" fillId="15" borderId="50" xfId="13" applyNumberFormat="1" applyFont="1" applyFill="1" applyBorder="1" applyAlignment="1">
      <alignment vertical="center"/>
    </xf>
    <xf numFmtId="10" fontId="17" fillId="15" borderId="12" xfId="18" applyNumberFormat="1" applyFont="1" applyFill="1" applyBorder="1" applyAlignment="1">
      <alignment vertical="center"/>
    </xf>
    <xf numFmtId="10" fontId="17" fillId="15" borderId="57" xfId="18" applyNumberFormat="1" applyFont="1" applyFill="1" applyBorder="1" applyAlignment="1">
      <alignment vertical="center"/>
    </xf>
    <xf numFmtId="191" fontId="17" fillId="15" borderId="99" xfId="0" applyNumberFormat="1" applyFont="1" applyFill="1" applyBorder="1" applyAlignment="1">
      <alignment vertical="center"/>
    </xf>
    <xf numFmtId="191" fontId="17" fillId="15" borderId="28" xfId="0" applyNumberFormat="1" applyFont="1" applyFill="1" applyBorder="1" applyAlignment="1">
      <alignment vertical="center"/>
    </xf>
    <xf numFmtId="191" fontId="17" fillId="15" borderId="67" xfId="0" applyNumberFormat="1" applyFont="1" applyFill="1" applyBorder="1" applyAlignment="1">
      <alignment vertical="center"/>
    </xf>
    <xf numFmtId="191" fontId="17" fillId="15" borderId="24" xfId="0" applyNumberFormat="1" applyFont="1" applyFill="1" applyBorder="1" applyAlignment="1">
      <alignment vertical="center"/>
    </xf>
    <xf numFmtId="191" fontId="17" fillId="15" borderId="25" xfId="0" applyNumberFormat="1" applyFont="1" applyFill="1" applyBorder="1" applyAlignment="1">
      <alignment vertical="center"/>
    </xf>
    <xf numFmtId="191" fontId="17" fillId="15" borderId="101" xfId="0" applyNumberFormat="1" applyFont="1" applyFill="1" applyBorder="1" applyAlignment="1">
      <alignment vertical="center"/>
    </xf>
    <xf numFmtId="191" fontId="17" fillId="15" borderId="47" xfId="0" applyNumberFormat="1" applyFont="1" applyFill="1" applyBorder="1" applyAlignment="1">
      <alignment vertical="center"/>
    </xf>
    <xf numFmtId="191" fontId="17" fillId="15" borderId="100" xfId="0" applyNumberFormat="1" applyFont="1" applyFill="1" applyBorder="1" applyAlignment="1">
      <alignment vertical="center"/>
    </xf>
    <xf numFmtId="191" fontId="17" fillId="15" borderId="48" xfId="0" applyNumberFormat="1" applyFont="1" applyFill="1" applyBorder="1" applyAlignment="1">
      <alignment vertical="center"/>
    </xf>
    <xf numFmtId="10" fontId="17" fillId="15" borderId="33" xfId="13" applyNumberFormat="1" applyFont="1" applyFill="1" applyBorder="1" applyAlignment="1">
      <alignment vertical="center"/>
    </xf>
    <xf numFmtId="10" fontId="17" fillId="15" borderId="35" xfId="13" applyNumberFormat="1" applyFont="1" applyFill="1" applyBorder="1" applyAlignment="1">
      <alignment vertical="center"/>
    </xf>
    <xf numFmtId="10" fontId="17" fillId="15" borderId="48" xfId="13" applyNumberFormat="1" applyFont="1" applyFill="1" applyBorder="1" applyAlignment="1">
      <alignment vertical="center"/>
    </xf>
    <xf numFmtId="10" fontId="17" fillId="15" borderId="28" xfId="13" applyNumberFormat="1" applyFont="1" applyFill="1" applyBorder="1" applyAlignment="1">
      <alignment vertical="center"/>
    </xf>
    <xf numFmtId="10" fontId="17" fillId="15" borderId="24" xfId="13" applyNumberFormat="1" applyFont="1" applyFill="1" applyBorder="1" applyAlignment="1">
      <alignment vertical="center"/>
    </xf>
    <xf numFmtId="10" fontId="17" fillId="15" borderId="47" xfId="13" applyNumberFormat="1" applyFont="1" applyFill="1" applyBorder="1" applyAlignment="1">
      <alignment vertical="center"/>
    </xf>
    <xf numFmtId="2" fontId="17" fillId="15" borderId="0" xfId="4" applyNumberFormat="1" applyFont="1" applyFill="1" applyAlignment="1">
      <alignment vertical="center"/>
    </xf>
    <xf numFmtId="2" fontId="17" fillId="15" borderId="25" xfId="4" applyNumberFormat="1" applyFont="1" applyFill="1" applyBorder="1" applyAlignment="1">
      <alignment vertical="center"/>
    </xf>
    <xf numFmtId="2" fontId="17" fillId="15" borderId="100" xfId="4" applyNumberFormat="1" applyFont="1" applyFill="1" applyBorder="1" applyAlignment="1">
      <alignment vertical="center"/>
    </xf>
    <xf numFmtId="2" fontId="17" fillId="15" borderId="14" xfId="4" applyNumberFormat="1" applyFont="1" applyFill="1" applyBorder="1" applyAlignment="1">
      <alignment vertical="center"/>
    </xf>
    <xf numFmtId="2" fontId="17" fillId="15" borderId="35" xfId="4" applyNumberFormat="1" applyFont="1" applyFill="1" applyBorder="1" applyAlignment="1">
      <alignment vertical="center"/>
    </xf>
    <xf numFmtId="2" fontId="17" fillId="15" borderId="48" xfId="4" applyNumberFormat="1" applyFont="1" applyFill="1" applyBorder="1" applyAlignment="1">
      <alignment vertical="center"/>
    </xf>
    <xf numFmtId="188" fontId="17" fillId="15" borderId="49" xfId="4" applyNumberFormat="1" applyFont="1" applyFill="1" applyBorder="1" applyAlignment="1">
      <alignment vertical="center"/>
    </xf>
    <xf numFmtId="188" fontId="17" fillId="15" borderId="50" xfId="4" applyNumberFormat="1" applyFont="1" applyFill="1" applyBorder="1" applyAlignment="1">
      <alignment vertical="center"/>
    </xf>
    <xf numFmtId="10" fontId="45" fillId="15" borderId="33" xfId="4" applyNumberFormat="1" applyFont="1" applyFill="1" applyBorder="1" applyAlignment="1">
      <alignment vertical="center"/>
    </xf>
    <xf numFmtId="10" fontId="45" fillId="15" borderId="34" xfId="4" applyNumberFormat="1" applyFont="1" applyFill="1" applyBorder="1" applyAlignment="1">
      <alignment vertical="center"/>
    </xf>
    <xf numFmtId="10" fontId="45" fillId="15" borderId="14" xfId="4" applyNumberFormat="1" applyFont="1" applyFill="1" applyBorder="1" applyAlignment="1">
      <alignment vertical="center"/>
    </xf>
    <xf numFmtId="10" fontId="45" fillId="15" borderId="86" xfId="18" applyNumberFormat="1" applyFont="1" applyFill="1" applyBorder="1" applyAlignment="1">
      <alignment vertical="center"/>
    </xf>
    <xf numFmtId="10" fontId="45" fillId="15" borderId="37" xfId="18" applyNumberFormat="1" applyFont="1" applyFill="1" applyBorder="1" applyAlignment="1">
      <alignment vertical="center"/>
    </xf>
    <xf numFmtId="165" fontId="45" fillId="15" borderId="33" xfId="16" applyNumberFormat="1" applyFont="1" applyFill="1" applyBorder="1" applyAlignment="1">
      <alignment vertical="center"/>
    </xf>
    <xf numFmtId="165" fontId="45" fillId="15" borderId="34" xfId="16" applyNumberFormat="1" applyFont="1" applyFill="1" applyBorder="1" applyAlignment="1">
      <alignment vertical="center"/>
    </xf>
    <xf numFmtId="165" fontId="45" fillId="15" borderId="57" xfId="16" applyNumberFormat="1" applyFont="1" applyFill="1" applyBorder="1" applyAlignment="1">
      <alignment vertical="center"/>
    </xf>
    <xf numFmtId="164" fontId="45" fillId="15" borderId="27" xfId="16" applyNumberFormat="1" applyFont="1" applyFill="1" applyBorder="1" applyAlignment="1">
      <alignment vertical="center"/>
    </xf>
    <xf numFmtId="164" fontId="17" fillId="15" borderId="29" xfId="4" applyNumberFormat="1" applyFont="1" applyFill="1" applyBorder="1" applyAlignment="1">
      <alignment vertical="center"/>
    </xf>
    <xf numFmtId="187" fontId="11" fillId="15" borderId="48" xfId="11" applyNumberFormat="1" applyFont="1" applyFill="1" applyBorder="1" applyAlignment="1">
      <alignment vertical="center"/>
    </xf>
    <xf numFmtId="168" fontId="39" fillId="15" borderId="46" xfId="0" applyNumberFormat="1" applyFont="1" applyFill="1" applyBorder="1" applyAlignment="1">
      <alignment vertical="center"/>
    </xf>
    <xf numFmtId="168" fontId="39" fillId="15" borderId="111" xfId="0" applyNumberFormat="1" applyFont="1" applyFill="1" applyBorder="1" applyAlignment="1">
      <alignment vertical="center"/>
    </xf>
    <xf numFmtId="168" fontId="39" fillId="15" borderId="112" xfId="0" applyNumberFormat="1" applyFont="1" applyFill="1" applyBorder="1" applyAlignment="1">
      <alignment vertical="center"/>
    </xf>
    <xf numFmtId="168" fontId="39" fillId="15" borderId="106" xfId="0" applyNumberFormat="1" applyFont="1" applyFill="1" applyBorder="1" applyAlignment="1">
      <alignment vertical="center"/>
    </xf>
    <xf numFmtId="178" fontId="17" fillId="15" borderId="24" xfId="4" applyNumberFormat="1" applyFont="1" applyFill="1" applyBorder="1" applyAlignment="1">
      <alignment horizontal="right" vertical="center"/>
    </xf>
    <xf numFmtId="180" fontId="17" fillId="15" borderId="33" xfId="4" applyNumberFormat="1" applyFont="1" applyFill="1" applyBorder="1" applyAlignment="1">
      <alignment vertical="center"/>
    </xf>
    <xf numFmtId="180" fontId="17" fillId="15" borderId="35" xfId="4" applyNumberFormat="1" applyFont="1" applyFill="1" applyBorder="1" applyAlignment="1">
      <alignment vertical="center"/>
    </xf>
    <xf numFmtId="178" fontId="17" fillId="15" borderId="47" xfId="4" applyNumberFormat="1" applyFont="1" applyFill="1" applyBorder="1" applyAlignment="1">
      <alignment horizontal="right" vertical="center"/>
    </xf>
    <xf numFmtId="180" fontId="17" fillId="15" borderId="48" xfId="4" applyNumberFormat="1" applyFont="1" applyFill="1" applyBorder="1" applyAlignment="1">
      <alignment vertical="center"/>
    </xf>
    <xf numFmtId="168" fontId="29" fillId="15" borderId="3" xfId="0" applyNumberFormat="1" applyFont="1" applyFill="1" applyBorder="1" applyAlignment="1">
      <alignment vertical="center"/>
    </xf>
    <xf numFmtId="168" fontId="29" fillId="15" borderId="13" xfId="0" applyNumberFormat="1" applyFont="1" applyFill="1" applyBorder="1" applyAlignment="1">
      <alignment vertical="center"/>
    </xf>
    <xf numFmtId="0" fontId="8" fillId="15" borderId="14" xfId="0" applyFont="1" applyFill="1" applyBorder="1" applyAlignment="1">
      <alignment vertical="center"/>
    </xf>
    <xf numFmtId="168" fontId="29" fillId="15" borderId="34" xfId="0" applyNumberFormat="1" applyFont="1" applyFill="1" applyBorder="1" applyAlignment="1">
      <alignment vertical="center"/>
    </xf>
    <xf numFmtId="168" fontId="29" fillId="15" borderId="72" xfId="0" applyNumberFormat="1" applyFont="1" applyFill="1" applyBorder="1" applyAlignment="1">
      <alignment vertical="center"/>
    </xf>
    <xf numFmtId="0" fontId="26" fillId="15" borderId="72" xfId="0" applyFont="1" applyFill="1" applyBorder="1" applyAlignment="1">
      <alignment vertical="center"/>
    </xf>
    <xf numFmtId="168" fontId="29" fillId="15" borderId="57" xfId="0" applyNumberFormat="1" applyFont="1" applyFill="1" applyBorder="1" applyAlignment="1">
      <alignment vertical="center"/>
    </xf>
    <xf numFmtId="10" fontId="29" fillId="15" borderId="12" xfId="18" applyNumberFormat="1" applyFont="1" applyFill="1" applyBorder="1" applyAlignment="1">
      <alignment horizontal="center" vertical="center"/>
    </xf>
    <xf numFmtId="10" fontId="29" fillId="15" borderId="27" xfId="18" applyNumberFormat="1" applyFont="1" applyFill="1" applyBorder="1" applyAlignment="1">
      <alignment horizontal="center" vertical="center"/>
    </xf>
    <xf numFmtId="168" fontId="45" fillId="15" borderId="35" xfId="0" applyNumberFormat="1" applyFont="1" applyFill="1" applyBorder="1" applyAlignment="1">
      <alignment horizontal="center" vertical="center"/>
    </xf>
    <xf numFmtId="0" fontId="30" fillId="0" borderId="0" xfId="9" applyFont="1" applyBorder="1" applyAlignment="1">
      <alignment wrapText="1"/>
    </xf>
    <xf numFmtId="0" fontId="30" fillId="0" borderId="0" xfId="9" applyFont="1" applyBorder="1" applyAlignment="1">
      <alignment horizontal="left"/>
    </xf>
    <xf numFmtId="0" fontId="30" fillId="0" borderId="0" xfId="9" applyBorder="1"/>
    <xf numFmtId="0" fontId="17" fillId="0" borderId="0" xfId="9" applyFont="1" applyBorder="1" applyAlignment="1">
      <alignment horizontal="left"/>
    </xf>
    <xf numFmtId="0" fontId="17" fillId="0" borderId="0" xfId="9" applyFont="1" applyBorder="1" applyAlignment="1"/>
    <xf numFmtId="0" fontId="17" fillId="0" borderId="0" xfId="9" applyFont="1" applyAlignment="1">
      <alignment horizontal="centerContinuous" vertical="center"/>
    </xf>
    <xf numFmtId="0" fontId="13" fillId="0" borderId="0" xfId="9" quotePrefix="1" applyFont="1" applyAlignment="1">
      <alignment horizontal="centerContinuous" vertical="center"/>
    </xf>
    <xf numFmtId="180" fontId="17" fillId="15" borderId="34" xfId="4" applyNumberFormat="1" applyFont="1" applyFill="1" applyBorder="1" applyAlignment="1">
      <alignment vertical="center"/>
    </xf>
    <xf numFmtId="0" fontId="0" fillId="0" borderId="0" xfId="0" applyNumberFormat="1"/>
    <xf numFmtId="0" fontId="17" fillId="16" borderId="31" xfId="2" applyFont="1" applyFill="1" applyBorder="1" applyAlignment="1">
      <alignment vertical="center"/>
    </xf>
    <xf numFmtId="0" fontId="17" fillId="16" borderId="9" xfId="2" applyFont="1" applyFill="1" applyBorder="1" applyAlignment="1">
      <alignment vertical="center"/>
    </xf>
    <xf numFmtId="0" fontId="69" fillId="16" borderId="0" xfId="3" applyFont="1" applyFill="1" applyAlignment="1">
      <alignment vertical="center"/>
    </xf>
    <xf numFmtId="0" fontId="70" fillId="16" borderId="0" xfId="3" applyFill="1"/>
    <xf numFmtId="0" fontId="70" fillId="0" borderId="0" xfId="3" applyFill="1"/>
    <xf numFmtId="182" fontId="6" fillId="0" borderId="0" xfId="0" applyNumberFormat="1" applyFont="1"/>
    <xf numFmtId="0" fontId="80" fillId="0" borderId="0" xfId="15" applyFont="1" applyAlignment="1">
      <alignment vertical="center"/>
    </xf>
    <xf numFmtId="0" fontId="81" fillId="0" borderId="0" xfId="15" applyFont="1" applyFill="1" applyAlignment="1">
      <alignment horizontal="center" vertical="center"/>
    </xf>
    <xf numFmtId="0" fontId="82" fillId="0" borderId="0" xfId="15" applyFont="1" applyAlignment="1">
      <alignment horizontal="centerContinuous" vertical="center"/>
    </xf>
    <xf numFmtId="0" fontId="81" fillId="0" borderId="0" xfId="15" applyFont="1" applyAlignment="1">
      <alignment horizontal="centerContinuous" vertical="center"/>
    </xf>
    <xf numFmtId="2" fontId="81" fillId="0" borderId="0" xfId="15" applyNumberFormat="1" applyFont="1" applyAlignment="1">
      <alignment horizontal="centerContinuous" vertical="center"/>
    </xf>
    <xf numFmtId="0" fontId="83" fillId="0" borderId="0" xfId="4" applyFont="1" applyAlignment="1">
      <alignment horizontal="left"/>
    </xf>
    <xf numFmtId="0" fontId="81" fillId="0" borderId="0" xfId="15" applyFont="1"/>
    <xf numFmtId="1" fontId="82" fillId="0" borderId="0" xfId="15" applyNumberFormat="1" applyFont="1"/>
    <xf numFmtId="0" fontId="82" fillId="0" borderId="0" xfId="15" applyFont="1"/>
    <xf numFmtId="2" fontId="82" fillId="0" borderId="0" xfId="15" applyNumberFormat="1" applyFont="1"/>
    <xf numFmtId="1" fontId="84" fillId="0" borderId="0" xfId="15" applyNumberFormat="1" applyFont="1" applyAlignment="1">
      <alignment vertical="center"/>
    </xf>
    <xf numFmtId="1" fontId="81" fillId="0" borderId="51" xfId="15" applyNumberFormat="1" applyFont="1" applyBorder="1" applyAlignment="1">
      <alignment horizontal="center" vertical="center" wrapText="1"/>
    </xf>
    <xf numFmtId="0" fontId="81" fillId="0" borderId="13" xfId="15" applyFont="1" applyBorder="1" applyAlignment="1">
      <alignment horizontal="center" vertical="center" wrapText="1"/>
    </xf>
    <xf numFmtId="1" fontId="82" fillId="0" borderId="5" xfId="15" applyNumberFormat="1" applyFont="1" applyBorder="1" applyAlignment="1">
      <alignment horizontal="center" vertical="center"/>
    </xf>
    <xf numFmtId="0" fontId="81" fillId="0" borderId="64" xfId="15" applyFont="1" applyBorder="1" applyAlignment="1">
      <alignment vertical="center"/>
    </xf>
    <xf numFmtId="1" fontId="81" fillId="0" borderId="31" xfId="15" applyNumberFormat="1" applyFont="1" applyBorder="1" applyAlignment="1">
      <alignment vertical="center"/>
    </xf>
    <xf numFmtId="1" fontId="81" fillId="0" borderId="4" xfId="15" applyNumberFormat="1" applyFont="1" applyBorder="1" applyAlignment="1">
      <alignment vertical="center"/>
    </xf>
    <xf numFmtId="1" fontId="81" fillId="0" borderId="14" xfId="15" applyNumberFormat="1" applyFont="1" applyBorder="1" applyAlignment="1">
      <alignment horizontal="center" vertical="center"/>
    </xf>
    <xf numFmtId="1" fontId="81" fillId="0" borderId="65" xfId="15" applyNumberFormat="1" applyFont="1" applyBorder="1" applyAlignment="1">
      <alignment horizontal="center" vertical="center"/>
    </xf>
    <xf numFmtId="2" fontId="81" fillId="0" borderId="14" xfId="15" applyNumberFormat="1" applyFont="1" applyBorder="1" applyAlignment="1">
      <alignment vertical="center"/>
    </xf>
    <xf numFmtId="1" fontId="81" fillId="0" borderId="6" xfId="15" applyNumberFormat="1" applyFont="1" applyBorder="1" applyAlignment="1">
      <alignment vertical="center"/>
    </xf>
    <xf numFmtId="174" fontId="81" fillId="0" borderId="102" xfId="15" applyNumberFormat="1" applyFont="1" applyBorder="1" applyAlignment="1">
      <alignment vertical="center"/>
    </xf>
    <xf numFmtId="174" fontId="81" fillId="0" borderId="6" xfId="15" applyNumberFormat="1" applyFont="1" applyBorder="1" applyAlignment="1">
      <alignment vertical="center"/>
    </xf>
    <xf numFmtId="174" fontId="81" fillId="0" borderId="23" xfId="15" applyNumberFormat="1" applyFont="1" applyBorder="1" applyAlignment="1">
      <alignment vertical="center"/>
    </xf>
    <xf numFmtId="174" fontId="81" fillId="0" borderId="34" xfId="15" applyNumberFormat="1" applyFont="1" applyBorder="1" applyAlignment="1">
      <alignment vertical="center"/>
    </xf>
    <xf numFmtId="174" fontId="81" fillId="0" borderId="66" xfId="15" applyNumberFormat="1" applyFont="1" applyFill="1" applyBorder="1" applyAlignment="1">
      <alignment vertical="center"/>
    </xf>
    <xf numFmtId="177" fontId="81" fillId="0" borderId="34" xfId="15" applyNumberFormat="1" applyFont="1" applyBorder="1" applyAlignment="1">
      <alignment horizontal="right" vertical="center"/>
    </xf>
    <xf numFmtId="1" fontId="81" fillId="0" borderId="9" xfId="15" applyNumberFormat="1" applyFont="1" applyBorder="1" applyAlignment="1">
      <alignment horizontal="left" vertical="center" wrapText="1"/>
    </xf>
    <xf numFmtId="174" fontId="81" fillId="0" borderId="25" xfId="15" applyNumberFormat="1" applyFont="1" applyBorder="1" applyAlignment="1">
      <alignment vertical="center"/>
    </xf>
    <xf numFmtId="174" fontId="81" fillId="3" borderId="9" xfId="15" applyNumberFormat="1" applyFont="1" applyFill="1" applyBorder="1" applyAlignment="1">
      <alignment vertical="center"/>
    </xf>
    <xf numFmtId="174" fontId="81" fillId="3" borderId="67" xfId="15" applyNumberFormat="1" applyFont="1" applyFill="1" applyBorder="1" applyAlignment="1">
      <alignment vertical="center"/>
    </xf>
    <xf numFmtId="174" fontId="81" fillId="0" borderId="35" xfId="15" applyNumberFormat="1" applyFont="1" applyBorder="1" applyAlignment="1">
      <alignment vertical="center"/>
    </xf>
    <xf numFmtId="174" fontId="81" fillId="0" borderId="68" xfId="15" applyNumberFormat="1" applyFont="1" applyBorder="1" applyAlignment="1">
      <alignment vertical="center"/>
    </xf>
    <xf numFmtId="174" fontId="81" fillId="0" borderId="9" xfId="15" applyNumberFormat="1" applyFont="1" applyBorder="1" applyAlignment="1">
      <alignment vertical="center"/>
    </xf>
    <xf numFmtId="177" fontId="81" fillId="0" borderId="35" xfId="15" applyNumberFormat="1" applyFont="1" applyBorder="1" applyAlignment="1">
      <alignment horizontal="right" vertical="center"/>
    </xf>
    <xf numFmtId="1" fontId="81" fillId="0" borderId="8" xfId="15" applyNumberFormat="1" applyFont="1" applyBorder="1" applyAlignment="1">
      <alignment horizontal="center" vertical="center"/>
    </xf>
    <xf numFmtId="174" fontId="81" fillId="0" borderId="105" xfId="15" applyNumberFormat="1" applyFont="1" applyBorder="1" applyAlignment="1">
      <alignment vertical="center"/>
    </xf>
    <xf numFmtId="174" fontId="81" fillId="0" borderId="8" xfId="15" applyNumberFormat="1" applyFont="1" applyBorder="1" applyAlignment="1">
      <alignment vertical="center"/>
    </xf>
    <xf numFmtId="174" fontId="81" fillId="0" borderId="18" xfId="15" applyNumberFormat="1" applyFont="1" applyBorder="1" applyAlignment="1">
      <alignment vertical="center"/>
    </xf>
    <xf numFmtId="174" fontId="81" fillId="0" borderId="69" xfId="15" applyNumberFormat="1" applyFont="1" applyBorder="1" applyAlignment="1">
      <alignment vertical="center"/>
    </xf>
    <xf numFmtId="174" fontId="81" fillId="0" borderId="70" xfId="15" applyNumberFormat="1" applyFont="1" applyBorder="1" applyAlignment="1">
      <alignment vertical="center"/>
    </xf>
    <xf numFmtId="177" fontId="81" fillId="0" borderId="69" xfId="15" applyNumberFormat="1" applyFont="1" applyBorder="1" applyAlignment="1">
      <alignment horizontal="right" vertical="center"/>
    </xf>
    <xf numFmtId="1" fontId="82" fillId="0" borderId="7" xfId="15" applyNumberFormat="1" applyFont="1" applyBorder="1" applyAlignment="1">
      <alignment horizontal="center" vertical="center"/>
    </xf>
    <xf numFmtId="174" fontId="81" fillId="0" borderId="71" xfId="15" applyNumberFormat="1" applyFont="1" applyBorder="1" applyAlignment="1">
      <alignment vertical="center"/>
    </xf>
    <xf numFmtId="174" fontId="81" fillId="0" borderId="7" xfId="15" applyNumberFormat="1" applyFont="1" applyBorder="1" applyAlignment="1">
      <alignment vertical="center"/>
    </xf>
    <xf numFmtId="174" fontId="81" fillId="0" borderId="16" xfId="15" applyNumberFormat="1" applyFont="1" applyBorder="1" applyAlignment="1">
      <alignment vertical="center"/>
    </xf>
    <xf numFmtId="174" fontId="81" fillId="0" borderId="72" xfId="15" applyNumberFormat="1" applyFont="1" applyBorder="1" applyAlignment="1">
      <alignment vertical="center"/>
    </xf>
    <xf numFmtId="174" fontId="81" fillId="0" borderId="0" xfId="15" applyNumberFormat="1" applyFont="1" applyBorder="1" applyAlignment="1">
      <alignment vertical="center"/>
    </xf>
    <xf numFmtId="177" fontId="81" fillId="0" borderId="14" xfId="15" applyNumberFormat="1" applyFont="1" applyBorder="1" applyAlignment="1">
      <alignment horizontal="right" vertical="center"/>
    </xf>
    <xf numFmtId="1" fontId="81" fillId="0" borderId="6" xfId="15" applyNumberFormat="1" applyFont="1" applyBorder="1" applyAlignment="1">
      <alignment horizontal="left" vertical="center" wrapText="1"/>
    </xf>
    <xf numFmtId="174" fontId="81" fillId="0" borderId="102" xfId="15" applyNumberFormat="1" applyFont="1" applyFill="1" applyBorder="1" applyAlignment="1">
      <alignment vertical="center"/>
    </xf>
    <xf numFmtId="174" fontId="81" fillId="3" borderId="6" xfId="15" applyNumberFormat="1" applyFont="1" applyFill="1" applyBorder="1" applyAlignment="1">
      <alignment vertical="center"/>
    </xf>
    <xf numFmtId="174" fontId="81" fillId="3" borderId="23" xfId="15" applyNumberFormat="1" applyFont="1" applyFill="1" applyBorder="1" applyAlignment="1">
      <alignment vertical="center"/>
    </xf>
    <xf numFmtId="174" fontId="81" fillId="0" borderId="34" xfId="15" applyNumberFormat="1" applyFont="1" applyFill="1" applyBorder="1" applyAlignment="1">
      <alignment vertical="center"/>
    </xf>
    <xf numFmtId="1" fontId="81" fillId="0" borderId="7" xfId="15" applyNumberFormat="1" applyFont="1" applyBorder="1" applyAlignment="1">
      <alignment horizontal="left" vertical="center" wrapText="1"/>
    </xf>
    <xf numFmtId="174" fontId="81" fillId="3" borderId="7" xfId="15" applyNumberFormat="1" applyFont="1" applyFill="1" applyBorder="1" applyAlignment="1">
      <alignment vertical="center"/>
    </xf>
    <xf numFmtId="174" fontId="81" fillId="3" borderId="16" xfId="15" applyNumberFormat="1" applyFont="1" applyFill="1" applyBorder="1" applyAlignment="1">
      <alignment vertical="center"/>
    </xf>
    <xf numFmtId="174" fontId="81" fillId="0" borderId="66" xfId="15" applyNumberFormat="1" applyFont="1" applyBorder="1" applyAlignment="1">
      <alignment vertical="center"/>
    </xf>
    <xf numFmtId="177" fontId="81" fillId="0" borderId="72" xfId="15" applyNumberFormat="1" applyFont="1" applyBorder="1" applyAlignment="1">
      <alignment horizontal="right" vertical="center"/>
    </xf>
    <xf numFmtId="1" fontId="81" fillId="0" borderId="9" xfId="15" applyNumberFormat="1" applyFont="1" applyBorder="1" applyAlignment="1">
      <alignment horizontal="center" vertical="center" wrapText="1"/>
    </xf>
    <xf numFmtId="174" fontId="81" fillId="0" borderId="67" xfId="15" applyNumberFormat="1" applyFont="1" applyBorder="1" applyAlignment="1">
      <alignment vertical="center"/>
    </xf>
    <xf numFmtId="1" fontId="85" fillId="0" borderId="10" xfId="15" applyNumberFormat="1" applyFont="1" applyBorder="1" applyAlignment="1">
      <alignment horizontal="center" vertical="center" wrapText="1"/>
    </xf>
    <xf numFmtId="174" fontId="81" fillId="0" borderId="71" xfId="15" applyNumberFormat="1" applyFont="1" applyFill="1" applyBorder="1" applyAlignment="1">
      <alignment vertical="center"/>
    </xf>
    <xf numFmtId="174" fontId="81" fillId="0" borderId="7" xfId="15" applyNumberFormat="1" applyFont="1" applyFill="1" applyBorder="1" applyAlignment="1">
      <alignment vertical="center"/>
    </xf>
    <xf numFmtId="174" fontId="81" fillId="0" borderId="16" xfId="15" applyNumberFormat="1" applyFont="1" applyFill="1" applyBorder="1" applyAlignment="1">
      <alignment vertical="center"/>
    </xf>
    <xf numFmtId="174" fontId="81" fillId="0" borderId="72" xfId="15" applyNumberFormat="1" applyFont="1" applyFill="1" applyBorder="1" applyAlignment="1">
      <alignment vertical="center"/>
    </xf>
    <xf numFmtId="174" fontId="81" fillId="0" borderId="0" xfId="15" applyNumberFormat="1" applyFont="1" applyFill="1" applyBorder="1" applyAlignment="1">
      <alignment vertical="center"/>
    </xf>
    <xf numFmtId="174" fontId="81" fillId="0" borderId="6" xfId="15" applyNumberFormat="1" applyFont="1" applyFill="1" applyBorder="1" applyAlignment="1">
      <alignment vertical="center"/>
    </xf>
    <xf numFmtId="174" fontId="81" fillId="0" borderId="23" xfId="15" applyNumberFormat="1" applyFont="1" applyFill="1" applyBorder="1" applyAlignment="1">
      <alignment vertical="center"/>
    </xf>
    <xf numFmtId="174" fontId="81" fillId="3" borderId="34" xfId="15" applyNumberFormat="1" applyFont="1" applyFill="1" applyBorder="1" applyAlignment="1">
      <alignment vertical="center"/>
    </xf>
    <xf numFmtId="174" fontId="81" fillId="0" borderId="35" xfId="15" applyNumberFormat="1" applyFont="1" applyFill="1" applyBorder="1" applyAlignment="1">
      <alignment vertical="center"/>
    </xf>
    <xf numFmtId="1" fontId="81" fillId="0" borderId="10" xfId="15" applyNumberFormat="1" applyFont="1" applyBorder="1" applyAlignment="1">
      <alignment horizontal="left" vertical="center" wrapText="1"/>
    </xf>
    <xf numFmtId="174" fontId="81" fillId="0" borderId="92" xfId="15" applyNumberFormat="1" applyFont="1" applyFill="1" applyBorder="1" applyAlignment="1">
      <alignment vertical="center"/>
    </xf>
    <xf numFmtId="174" fontId="81" fillId="3" borderId="10" xfId="15" applyNumberFormat="1" applyFont="1" applyFill="1" applyBorder="1" applyAlignment="1">
      <alignment vertical="center"/>
    </xf>
    <xf numFmtId="174" fontId="81" fillId="3" borderId="95" xfId="15" applyNumberFormat="1" applyFont="1" applyFill="1" applyBorder="1" applyAlignment="1">
      <alignment vertical="center"/>
    </xf>
    <xf numFmtId="174" fontId="81" fillId="0" borderId="93" xfId="15" applyNumberFormat="1" applyFont="1" applyFill="1" applyBorder="1" applyAlignment="1">
      <alignment vertical="center"/>
    </xf>
    <xf numFmtId="174" fontId="81" fillId="0" borderId="108" xfId="15" applyNumberFormat="1" applyFont="1" applyFill="1" applyBorder="1" applyAlignment="1">
      <alignment vertical="center"/>
    </xf>
    <xf numFmtId="174" fontId="81" fillId="0" borderId="25" xfId="15" applyNumberFormat="1" applyFont="1" applyFill="1" applyBorder="1" applyAlignment="1">
      <alignment vertical="center"/>
    </xf>
    <xf numFmtId="174" fontId="81" fillId="0" borderId="9" xfId="15" applyNumberFormat="1" applyFont="1" applyFill="1" applyBorder="1" applyAlignment="1">
      <alignment vertical="center"/>
    </xf>
    <xf numFmtId="174" fontId="81" fillId="0" borderId="24" xfId="15" applyNumberFormat="1" applyFont="1" applyFill="1" applyBorder="1" applyAlignment="1">
      <alignment vertical="center"/>
    </xf>
    <xf numFmtId="174" fontId="81" fillId="0" borderId="68" xfId="15" applyNumberFormat="1" applyFont="1" applyFill="1" applyBorder="1" applyAlignment="1">
      <alignment vertical="center"/>
    </xf>
    <xf numFmtId="1" fontId="81" fillId="0" borderId="11" xfId="15" applyNumberFormat="1" applyFont="1" applyBorder="1" applyAlignment="1">
      <alignment horizontal="center" vertical="center"/>
    </xf>
    <xf numFmtId="174" fontId="81" fillId="0" borderId="59" xfId="15" applyNumberFormat="1" applyFont="1" applyBorder="1" applyAlignment="1">
      <alignment vertical="center"/>
    </xf>
    <xf numFmtId="174" fontId="81" fillId="0" borderId="11" xfId="15" applyNumberFormat="1" applyFont="1" applyBorder="1" applyAlignment="1">
      <alignment vertical="center"/>
    </xf>
    <xf numFmtId="174" fontId="81" fillId="0" borderId="26" xfId="15" applyNumberFormat="1" applyFont="1" applyBorder="1" applyAlignment="1">
      <alignment vertical="center"/>
    </xf>
    <xf numFmtId="174" fontId="81" fillId="0" borderId="73" xfId="15" applyNumberFormat="1" applyFont="1" applyBorder="1" applyAlignment="1">
      <alignment vertical="center"/>
    </xf>
    <xf numFmtId="174" fontId="81" fillId="0" borderId="74" xfId="15" applyNumberFormat="1" applyFont="1" applyBorder="1" applyAlignment="1">
      <alignment vertical="center"/>
    </xf>
    <xf numFmtId="1" fontId="82" fillId="0" borderId="12" xfId="15" applyNumberFormat="1" applyFont="1" applyBorder="1" applyAlignment="1">
      <alignment horizontal="center" vertical="center"/>
    </xf>
    <xf numFmtId="174" fontId="81" fillId="0" borderId="37" xfId="15" applyNumberFormat="1" applyFont="1" applyBorder="1" applyAlignment="1">
      <alignment vertical="center"/>
    </xf>
    <xf numFmtId="174" fontId="81" fillId="0" borderId="12" xfId="15" applyNumberFormat="1" applyFont="1" applyBorder="1" applyAlignment="1">
      <alignment vertical="center"/>
    </xf>
    <xf numFmtId="174" fontId="81" fillId="0" borderId="27" xfId="15" applyNumberFormat="1" applyFont="1" applyBorder="1" applyAlignment="1">
      <alignment vertical="center"/>
    </xf>
    <xf numFmtId="174" fontId="81" fillId="0" borderId="57" xfId="15" applyNumberFormat="1" applyFont="1" applyBorder="1" applyAlignment="1">
      <alignment vertical="center"/>
    </xf>
    <xf numFmtId="174" fontId="81" fillId="0" borderId="75" xfId="15" applyNumberFormat="1" applyFont="1" applyBorder="1" applyAlignment="1">
      <alignment vertical="center"/>
    </xf>
    <xf numFmtId="1" fontId="83" fillId="0" borderId="0" xfId="15" applyNumberFormat="1" applyFont="1"/>
    <xf numFmtId="0" fontId="78" fillId="0" borderId="0" xfId="15" applyFont="1"/>
    <xf numFmtId="1" fontId="82" fillId="0" borderId="0" xfId="15" applyNumberFormat="1" applyFont="1" applyAlignment="1">
      <alignment horizontal="center"/>
    </xf>
    <xf numFmtId="0" fontId="86" fillId="13" borderId="0" xfId="15" applyFont="1" applyFill="1" applyAlignment="1">
      <alignment horizontal="centerContinuous" vertical="center"/>
    </xf>
    <xf numFmtId="0" fontId="87" fillId="0" borderId="0" xfId="15" applyFont="1" applyAlignment="1">
      <alignment vertical="center"/>
    </xf>
    <xf numFmtId="0" fontId="88" fillId="0" borderId="0" xfId="15" applyFont="1" applyAlignment="1">
      <alignment vertical="center"/>
    </xf>
    <xf numFmtId="2" fontId="89" fillId="0" borderId="0" xfId="15" applyNumberFormat="1" applyFont="1" applyAlignment="1">
      <alignment horizontal="centerContinuous" vertical="center"/>
    </xf>
    <xf numFmtId="0" fontId="89" fillId="0" borderId="0" xfId="15" applyFont="1"/>
    <xf numFmtId="2" fontId="90" fillId="0" borderId="0" xfId="15" applyNumberFormat="1" applyFont="1" applyAlignment="1">
      <alignment horizontal="centerContinuous" vertical="center"/>
    </xf>
    <xf numFmtId="0" fontId="88" fillId="0" borderId="0" xfId="15" applyFont="1"/>
    <xf numFmtId="0" fontId="91" fillId="0" borderId="0" xfId="15" applyFont="1"/>
    <xf numFmtId="2" fontId="91" fillId="0" borderId="0" xfId="15" applyNumberFormat="1" applyFont="1"/>
    <xf numFmtId="2" fontId="88" fillId="0" borderId="0" xfId="15" applyNumberFormat="1" applyFont="1" applyAlignment="1">
      <alignment vertical="center"/>
    </xf>
    <xf numFmtId="2" fontId="89" fillId="0" borderId="0" xfId="15" applyNumberFormat="1" applyFont="1" applyBorder="1" applyAlignment="1">
      <alignment horizontal="center" vertical="center" wrapText="1"/>
    </xf>
    <xf numFmtId="0" fontId="89" fillId="0" borderId="0" xfId="15" applyFont="1" applyAlignment="1">
      <alignment vertical="center"/>
    </xf>
    <xf numFmtId="2" fontId="89" fillId="0" borderId="0" xfId="15" applyNumberFormat="1" applyFont="1" applyBorder="1"/>
    <xf numFmtId="170" fontId="89" fillId="0" borderId="0" xfId="15" applyNumberFormat="1" applyFont="1" applyBorder="1" applyAlignment="1">
      <alignment vertical="center"/>
    </xf>
    <xf numFmtId="170" fontId="89" fillId="0" borderId="0" xfId="15" applyNumberFormat="1" applyFont="1" applyFill="1" applyBorder="1" applyAlignment="1">
      <alignment vertical="center"/>
    </xf>
    <xf numFmtId="170" fontId="92" fillId="0" borderId="0" xfId="15" applyNumberFormat="1" applyFont="1" applyBorder="1" applyAlignment="1">
      <alignment vertical="center"/>
    </xf>
    <xf numFmtId="0" fontId="92" fillId="0" borderId="0" xfId="15" applyFont="1" applyAlignment="1">
      <alignment vertical="center"/>
    </xf>
    <xf numFmtId="174" fontId="89" fillId="0" borderId="0" xfId="15" applyNumberFormat="1" applyFont="1" applyAlignment="1">
      <alignment vertical="center"/>
    </xf>
    <xf numFmtId="0" fontId="92" fillId="0" borderId="0" xfId="15" applyFont="1"/>
    <xf numFmtId="1" fontId="77" fillId="0" borderId="0" xfId="15" applyNumberFormat="1" applyFont="1"/>
    <xf numFmtId="1" fontId="77" fillId="0" borderId="0" xfId="15" applyNumberFormat="1" applyFont="1" applyAlignment="1">
      <alignment horizontal="center"/>
    </xf>
    <xf numFmtId="2" fontId="77" fillId="0" borderId="0" xfId="15" applyNumberFormat="1" applyFont="1"/>
    <xf numFmtId="0" fontId="77" fillId="0" borderId="0" xfId="15" applyFont="1"/>
    <xf numFmtId="1" fontId="93" fillId="0" borderId="6" xfId="15" applyNumberFormat="1" applyFont="1" applyBorder="1" applyAlignment="1">
      <alignment vertical="center"/>
    </xf>
    <xf numFmtId="174" fontId="91" fillId="0" borderId="0" xfId="15" applyNumberFormat="1" applyFont="1"/>
    <xf numFmtId="187" fontId="10" fillId="0" borderId="113" xfId="14" applyNumberFormat="1" applyFont="1" applyFill="1" applyBorder="1" applyAlignment="1">
      <alignment horizontal="right" vertical="center"/>
    </xf>
    <xf numFmtId="187" fontId="11" fillId="0" borderId="24" xfId="11" applyNumberFormat="1" applyFont="1" applyFill="1" applyBorder="1" applyAlignment="1">
      <alignment vertical="center"/>
    </xf>
    <xf numFmtId="187" fontId="10" fillId="15" borderId="114" xfId="14" applyNumberFormat="1" applyFont="1" applyFill="1" applyBorder="1" applyAlignment="1">
      <alignment horizontal="right" vertical="center"/>
    </xf>
    <xf numFmtId="187" fontId="11" fillId="15" borderId="35" xfId="11" applyNumberFormat="1" applyFont="1" applyFill="1" applyBorder="1" applyAlignment="1">
      <alignment vertical="center"/>
    </xf>
    <xf numFmtId="187" fontId="45" fillId="0" borderId="24" xfId="14" applyNumberFormat="1" applyFont="1" applyFill="1" applyBorder="1" applyAlignment="1">
      <alignment vertical="center"/>
    </xf>
    <xf numFmtId="187" fontId="45" fillId="0" borderId="35" xfId="14" applyNumberFormat="1" applyFont="1" applyFill="1" applyBorder="1"/>
    <xf numFmtId="187" fontId="45" fillId="4" borderId="24" xfId="14" applyNumberFormat="1" applyFont="1" applyFill="1" applyBorder="1" applyAlignment="1">
      <alignment vertical="center"/>
    </xf>
    <xf numFmtId="187" fontId="45" fillId="4" borderId="35" xfId="14" applyNumberFormat="1" applyFont="1" applyFill="1" applyBorder="1"/>
    <xf numFmtId="187" fontId="45" fillId="0" borderId="93" xfId="14" applyNumberFormat="1" applyFont="1" applyFill="1" applyBorder="1"/>
    <xf numFmtId="187" fontId="10" fillId="11" borderId="3" xfId="14" applyNumberFormat="1" applyFont="1" applyFill="1" applyBorder="1" applyAlignment="1">
      <alignment vertical="center"/>
    </xf>
    <xf numFmtId="177" fontId="81" fillId="0" borderId="57" xfId="15" applyNumberFormat="1" applyFont="1" applyBorder="1" applyAlignment="1">
      <alignment horizontal="right" vertical="center"/>
    </xf>
    <xf numFmtId="0" fontId="11" fillId="11" borderId="18" xfId="0" applyFont="1" applyFill="1" applyBorder="1" applyAlignment="1">
      <alignment vertical="center"/>
    </xf>
    <xf numFmtId="190" fontId="11" fillId="11" borderId="18" xfId="0" applyNumberFormat="1" applyFont="1" applyFill="1" applyBorder="1" applyAlignment="1">
      <alignment vertical="center"/>
    </xf>
    <xf numFmtId="190" fontId="11" fillId="11" borderId="69" xfId="0" applyNumberFormat="1" applyFont="1" applyFill="1" applyBorder="1" applyAlignment="1">
      <alignment vertical="center"/>
    </xf>
    <xf numFmtId="191" fontId="0" fillId="0" borderId="0" xfId="0" applyNumberFormat="1"/>
    <xf numFmtId="187" fontId="10" fillId="0" borderId="24" xfId="14" applyNumberFormat="1" applyFont="1" applyFill="1" applyBorder="1" applyAlignment="1">
      <alignment vertical="center"/>
    </xf>
    <xf numFmtId="187" fontId="10" fillId="4" borderId="24" xfId="14" applyNumberFormat="1" applyFont="1" applyFill="1" applyBorder="1" applyAlignment="1">
      <alignment vertical="center"/>
    </xf>
    <xf numFmtId="187" fontId="10" fillId="0" borderId="44" xfId="14" applyNumberFormat="1" applyFont="1" applyFill="1" applyBorder="1" applyAlignment="1">
      <alignment vertical="center"/>
    </xf>
    <xf numFmtId="187" fontId="11" fillId="0" borderId="44" xfId="11" applyNumberFormat="1" applyFont="1" applyFill="1" applyBorder="1" applyAlignment="1">
      <alignment horizontal="right" vertical="center"/>
    </xf>
    <xf numFmtId="187" fontId="11" fillId="15" borderId="93" xfId="11" applyNumberFormat="1" applyFont="1" applyFill="1" applyBorder="1" applyAlignment="1">
      <alignment horizontal="right" vertical="center"/>
    </xf>
    <xf numFmtId="0" fontId="37" fillId="0" borderId="6" xfId="11" applyFont="1" applyBorder="1" applyAlignment="1">
      <alignment vertical="center" wrapText="1"/>
    </xf>
    <xf numFmtId="187" fontId="11" fillId="0" borderId="29" xfId="11" applyNumberFormat="1" applyFont="1" applyBorder="1" applyAlignment="1">
      <alignment vertical="center"/>
    </xf>
    <xf numFmtId="189" fontId="11" fillId="15" borderId="34" xfId="11" applyNumberFormat="1" applyFont="1" applyFill="1" applyBorder="1" applyAlignment="1">
      <alignment vertical="center"/>
    </xf>
    <xf numFmtId="0" fontId="45" fillId="0" borderId="3" xfId="11" applyFont="1" applyBorder="1" applyAlignment="1">
      <alignment vertical="center"/>
    </xf>
    <xf numFmtId="187" fontId="11" fillId="15" borderId="3" xfId="11" applyNumberFormat="1" applyFont="1" applyFill="1" applyBorder="1" applyAlignment="1">
      <alignment vertical="center"/>
    </xf>
    <xf numFmtId="2" fontId="20" fillId="0" borderId="0" xfId="0" applyNumberFormat="1" applyFont="1" applyAlignment="1">
      <alignment horizontal="right"/>
    </xf>
    <xf numFmtId="0" fontId="73" fillId="0" borderId="24" xfId="3" applyFont="1" applyFill="1" applyBorder="1" applyAlignment="1">
      <alignment horizontal="center"/>
    </xf>
    <xf numFmtId="0" fontId="70" fillId="0" borderId="24" xfId="3" applyFill="1" applyBorder="1" applyAlignment="1">
      <alignment horizontal="center"/>
    </xf>
    <xf numFmtId="0" fontId="73" fillId="0" borderId="46" xfId="3" applyFont="1" applyFill="1" applyBorder="1" applyAlignment="1">
      <alignment horizontal="center"/>
    </xf>
    <xf numFmtId="0" fontId="72" fillId="0" borderId="46" xfId="3" applyFont="1" applyFill="1" applyBorder="1" applyAlignment="1">
      <alignment horizontal="center"/>
    </xf>
    <xf numFmtId="0" fontId="72" fillId="0" borderId="29" xfId="3" applyFont="1" applyFill="1" applyBorder="1" applyAlignment="1">
      <alignment horizontal="center"/>
    </xf>
    <xf numFmtId="0" fontId="73" fillId="0" borderId="29" xfId="3" applyFont="1" applyFill="1" applyBorder="1" applyAlignment="1">
      <alignment horizontal="center"/>
    </xf>
    <xf numFmtId="0" fontId="73" fillId="0" borderId="24" xfId="3" quotePrefix="1" applyFont="1" applyFill="1" applyBorder="1" applyAlignment="1">
      <alignment horizontal="center"/>
    </xf>
    <xf numFmtId="0" fontId="73" fillId="0" borderId="47" xfId="3" quotePrefix="1" applyFont="1" applyFill="1" applyBorder="1" applyAlignment="1">
      <alignment horizontal="center"/>
    </xf>
    <xf numFmtId="0" fontId="72" fillId="0" borderId="33" xfId="3" applyFont="1" applyBorder="1" applyAlignment="1">
      <alignment horizontal="center"/>
    </xf>
    <xf numFmtId="0" fontId="72" fillId="0" borderId="44" xfId="3" applyFont="1" applyBorder="1" applyAlignment="1">
      <alignment horizontal="center"/>
    </xf>
    <xf numFmtId="0" fontId="72" fillId="0" borderId="93" xfId="3" applyFont="1" applyBorder="1" applyAlignment="1">
      <alignment horizontal="center"/>
    </xf>
    <xf numFmtId="1" fontId="56" fillId="0" borderId="0" xfId="15" applyNumberFormat="1" applyFont="1"/>
    <xf numFmtId="174" fontId="24" fillId="0" borderId="0" xfId="15" applyNumberFormat="1" applyFont="1" applyAlignment="1">
      <alignment vertical="center"/>
    </xf>
    <xf numFmtId="187" fontId="11" fillId="0" borderId="0" xfId="2" applyNumberFormat="1" applyFont="1" applyFill="1"/>
    <xf numFmtId="0" fontId="11" fillId="17" borderId="0" xfId="2" applyFont="1" applyFill="1"/>
    <xf numFmtId="0" fontId="17" fillId="16" borderId="83" xfId="2" applyFont="1" applyFill="1" applyBorder="1" applyAlignment="1">
      <alignment vertical="center"/>
    </xf>
    <xf numFmtId="187" fontId="17" fillId="10" borderId="13" xfId="2" applyNumberFormat="1" applyFont="1" applyFill="1" applyBorder="1" applyAlignment="1">
      <alignment vertical="center"/>
    </xf>
    <xf numFmtId="187" fontId="17" fillId="10" borderId="57" xfId="2" applyNumberFormat="1" applyFont="1" applyFill="1" applyBorder="1" applyAlignment="1">
      <alignment vertical="center"/>
    </xf>
    <xf numFmtId="1" fontId="11" fillId="0" borderId="0" xfId="0" applyNumberFormat="1" applyFont="1" applyAlignment="1">
      <alignment wrapText="1"/>
    </xf>
    <xf numFmtId="1" fontId="11" fillId="0" borderId="0" xfId="0" applyNumberFormat="1" applyFont="1" applyAlignment="1">
      <alignment horizontal="center" wrapText="1"/>
    </xf>
    <xf numFmtId="0" fontId="6" fillId="0" borderId="0" xfId="0" applyFont="1" applyAlignment="1">
      <alignment wrapText="1"/>
    </xf>
    <xf numFmtId="168" fontId="45" fillId="15" borderId="3" xfId="0" applyNumberFormat="1" applyFont="1" applyFill="1" applyBorder="1" applyAlignment="1">
      <alignment horizontal="center" vertical="center"/>
    </xf>
    <xf numFmtId="192" fontId="72" fillId="0" borderId="28" xfId="3" applyNumberFormat="1" applyFont="1" applyBorder="1" applyAlignment="1">
      <alignment horizontal="right"/>
    </xf>
    <xf numFmtId="192" fontId="75" fillId="0" borderId="28" xfId="3" applyNumberFormat="1" applyFont="1" applyBorder="1" applyAlignment="1">
      <alignment horizontal="right"/>
    </xf>
    <xf numFmtId="192" fontId="75" fillId="0" borderId="33" xfId="3" applyNumberFormat="1" applyFont="1" applyBorder="1" applyAlignment="1">
      <alignment horizontal="right"/>
    </xf>
    <xf numFmtId="192" fontId="72" fillId="0" borderId="24" xfId="3" applyNumberFormat="1" applyFont="1" applyBorder="1" applyAlignment="1">
      <alignment horizontal="right"/>
    </xf>
    <xf numFmtId="192" fontId="75" fillId="0" borderId="24" xfId="3" applyNumberFormat="1" applyFont="1" applyBorder="1" applyAlignment="1">
      <alignment horizontal="right"/>
    </xf>
    <xf numFmtId="192" fontId="75" fillId="0" borderId="35" xfId="3" applyNumberFormat="1" applyFont="1" applyBorder="1" applyAlignment="1">
      <alignment horizontal="right"/>
    </xf>
    <xf numFmtId="192" fontId="75" fillId="0" borderId="24" xfId="3" applyNumberFormat="1" applyFont="1" applyFill="1" applyBorder="1" applyAlignment="1">
      <alignment horizontal="right"/>
    </xf>
    <xf numFmtId="192" fontId="75" fillId="0" borderId="35" xfId="3" applyNumberFormat="1" applyFont="1" applyFill="1" applyBorder="1" applyAlignment="1">
      <alignment horizontal="right"/>
    </xf>
    <xf numFmtId="0" fontId="94" fillId="9" borderId="0" xfId="0" applyFont="1" applyFill="1" applyAlignment="1">
      <alignment horizontal="centerContinuous" vertical="center"/>
    </xf>
    <xf numFmtId="187" fontId="17" fillId="0" borderId="0" xfId="3" applyNumberFormat="1" applyFont="1"/>
    <xf numFmtId="0" fontId="95" fillId="0" borderId="0" xfId="4" applyFont="1"/>
    <xf numFmtId="193" fontId="45" fillId="0" borderId="24" xfId="0" applyNumberFormat="1" applyFont="1" applyBorder="1" applyAlignment="1">
      <alignment horizontal="right" vertical="center"/>
    </xf>
    <xf numFmtId="193" fontId="45" fillId="15" borderId="35" xfId="0" applyNumberFormat="1" applyFont="1" applyFill="1" applyBorder="1" applyAlignment="1">
      <alignment horizontal="right" vertical="center"/>
    </xf>
    <xf numFmtId="10" fontId="8" fillId="0" borderId="0" xfId="18" applyNumberFormat="1"/>
    <xf numFmtId="10" fontId="10" fillId="0" borderId="0" xfId="18" applyNumberFormat="1" applyFont="1" applyFill="1"/>
    <xf numFmtId="192" fontId="70" fillId="0" borderId="0" xfId="3" applyNumberFormat="1"/>
    <xf numFmtId="0" fontId="73" fillId="0" borderId="0" xfId="3" applyFont="1" applyBorder="1" applyAlignment="1">
      <alignment horizontal="center" vertical="center" wrapText="1"/>
    </xf>
    <xf numFmtId="0" fontId="72" fillId="0" borderId="0" xfId="3" applyFont="1" applyBorder="1" applyAlignment="1">
      <alignment horizontal="center" vertical="center" wrapText="1"/>
    </xf>
    <xf numFmtId="0" fontId="70" fillId="0" borderId="35" xfId="3" applyFill="1" applyBorder="1" applyAlignment="1">
      <alignment horizontal="center"/>
    </xf>
    <xf numFmtId="0" fontId="5" fillId="0" borderId="35" xfId="3" applyFont="1" applyFill="1" applyBorder="1" applyAlignment="1">
      <alignment horizontal="center"/>
    </xf>
    <xf numFmtId="0" fontId="72" fillId="0" borderId="35" xfId="3" applyFont="1" applyFill="1" applyBorder="1" applyAlignment="1">
      <alignment horizontal="center"/>
    </xf>
    <xf numFmtId="0" fontId="5" fillId="0" borderId="106" xfId="3" applyFont="1" applyFill="1" applyBorder="1" applyAlignment="1">
      <alignment horizontal="center"/>
    </xf>
    <xf numFmtId="190" fontId="17" fillId="18" borderId="35" xfId="0" applyNumberFormat="1" applyFont="1" applyFill="1" applyBorder="1" applyAlignment="1">
      <alignment vertical="center"/>
    </xf>
    <xf numFmtId="174" fontId="89" fillId="0" borderId="0" xfId="15" applyNumberFormat="1" applyFont="1"/>
    <xf numFmtId="0" fontId="0" fillId="0" borderId="0" xfId="0" applyAlignment="1">
      <alignment horizontal="left"/>
    </xf>
    <xf numFmtId="164" fontId="10" fillId="0" borderId="0" xfId="4" applyNumberFormat="1" applyFont="1" applyAlignment="1">
      <alignment vertical="center"/>
    </xf>
    <xf numFmtId="0" fontId="8" fillId="0" borderId="0" xfId="2" applyFont="1"/>
    <xf numFmtId="1" fontId="18" fillId="0" borderId="6" xfId="4" quotePrefix="1" applyNumberFormat="1" applyFont="1" applyBorder="1" applyAlignment="1">
      <alignment horizontal="left" vertical="center" wrapText="1"/>
    </xf>
    <xf numFmtId="178" fontId="11" fillId="0" borderId="125" xfId="0" applyNumberFormat="1" applyFont="1" applyBorder="1" applyAlignment="1"/>
    <xf numFmtId="178" fontId="11" fillId="0" borderId="126" xfId="12" applyNumberFormat="1" applyFont="1" applyBorder="1" applyAlignment="1"/>
    <xf numFmtId="178" fontId="11" fillId="20" borderId="126" xfId="12" applyNumberFormat="1" applyFont="1" applyFill="1" applyBorder="1" applyAlignment="1"/>
    <xf numFmtId="178" fontId="11" fillId="0" borderId="127" xfId="0" applyNumberFormat="1" applyFont="1" applyBorder="1" applyAlignment="1"/>
    <xf numFmtId="178" fontId="11" fillId="0" borderId="127" xfId="12" applyNumberFormat="1" applyFont="1" applyBorder="1" applyAlignment="1"/>
    <xf numFmtId="178" fontId="11" fillId="20" borderId="127" xfId="12" applyNumberFormat="1" applyFont="1" applyFill="1" applyBorder="1" applyAlignment="1"/>
    <xf numFmtId="178" fontId="11" fillId="0" borderId="128" xfId="12" applyNumberFormat="1" applyFont="1" applyBorder="1" applyAlignment="1"/>
    <xf numFmtId="178" fontId="11" fillId="20" borderId="128" xfId="12" applyNumberFormat="1" applyFont="1" applyFill="1" applyBorder="1" applyAlignment="1"/>
    <xf numFmtId="168" fontId="45" fillId="0" borderId="24" xfId="0" applyNumberFormat="1" applyFont="1" applyBorder="1" applyAlignment="1">
      <alignment horizontal="center" vertical="center"/>
    </xf>
    <xf numFmtId="168" fontId="29" fillId="0" borderId="29" xfId="0" applyNumberFormat="1" applyFont="1" applyBorder="1" applyAlignment="1">
      <alignment horizontal="center" vertical="center"/>
    </xf>
    <xf numFmtId="168" fontId="29" fillId="15" borderId="3" xfId="0" applyNumberFormat="1" applyFont="1" applyFill="1" applyBorder="1" applyAlignment="1">
      <alignment horizontal="center" vertical="center"/>
    </xf>
    <xf numFmtId="168" fontId="29" fillId="0" borderId="17" xfId="0" applyNumberFormat="1" applyFont="1" applyBorder="1" applyAlignment="1">
      <alignment horizontal="center" vertical="center"/>
    </xf>
    <xf numFmtId="0" fontId="37" fillId="0" borderId="0" xfId="7" quotePrefix="1" applyFont="1" applyAlignment="1">
      <alignment horizontal="left" vertical="center"/>
    </xf>
    <xf numFmtId="0" fontId="72" fillId="0" borderId="9" xfId="3" quotePrefix="1" applyFont="1" applyBorder="1" applyAlignment="1">
      <alignment horizontal="center"/>
    </xf>
    <xf numFmtId="0" fontId="17" fillId="0" borderId="7" xfId="2" quotePrefix="1" applyFont="1" applyFill="1" applyBorder="1" applyAlignment="1">
      <alignment horizontal="left" vertical="center"/>
    </xf>
    <xf numFmtId="166" fontId="10" fillId="0" borderId="0" xfId="4" applyNumberFormat="1" applyFont="1" applyFill="1"/>
    <xf numFmtId="166" fontId="16" fillId="0" borderId="0" xfId="4" applyNumberFormat="1" applyFont="1" applyFill="1" applyAlignment="1">
      <alignment horizontal="centerContinuous" vertical="center"/>
    </xf>
    <xf numFmtId="1" fontId="11" fillId="0" borderId="3" xfId="4" applyNumberFormat="1" applyFont="1" applyBorder="1" applyAlignment="1">
      <alignment horizontal="centerContinuous" vertical="center"/>
    </xf>
    <xf numFmtId="1" fontId="11" fillId="0" borderId="3" xfId="4" applyNumberFormat="1" applyFont="1" applyBorder="1" applyAlignment="1">
      <alignment horizontal="centerContinuous" vertical="center" wrapText="1"/>
    </xf>
    <xf numFmtId="1" fontId="10" fillId="0" borderId="6" xfId="4" applyNumberFormat="1" applyFont="1" applyBorder="1" applyAlignment="1">
      <alignment horizontal="center" vertical="center"/>
    </xf>
    <xf numFmtId="1" fontId="10" fillId="0" borderId="29" xfId="4" applyNumberFormat="1" applyFont="1" applyBorder="1" applyAlignment="1">
      <alignment vertical="center"/>
    </xf>
    <xf numFmtId="1" fontId="10" fillId="0" borderId="9" xfId="4" applyNumberFormat="1" applyFont="1" applyBorder="1" applyAlignment="1">
      <alignment horizontal="center" vertical="center"/>
    </xf>
    <xf numFmtId="1" fontId="10" fillId="0" borderId="24" xfId="4" applyNumberFormat="1" applyFont="1" applyBorder="1" applyAlignment="1">
      <alignment vertical="center"/>
    </xf>
    <xf numFmtId="1" fontId="10" fillId="0" borderId="24" xfId="4" quotePrefix="1" applyNumberFormat="1" applyFont="1" applyBorder="1" applyAlignment="1">
      <alignment horizontal="left" vertical="center"/>
    </xf>
    <xf numFmtId="1" fontId="10" fillId="0" borderId="24" xfId="4" applyNumberFormat="1" applyFont="1" applyBorder="1" applyAlignment="1">
      <alignment vertical="center" wrapText="1"/>
    </xf>
    <xf numFmtId="1" fontId="10" fillId="0" borderId="24" xfId="4" applyNumberFormat="1" applyFont="1" applyBorder="1" applyAlignment="1">
      <alignment horizontal="left" vertical="center" wrapText="1"/>
    </xf>
    <xf numFmtId="0" fontId="9" fillId="0" borderId="0" xfId="4" applyFont="1" applyBorder="1" applyAlignment="1">
      <alignment vertical="center"/>
    </xf>
    <xf numFmtId="0" fontId="11" fillId="0" borderId="0" xfId="4" applyFont="1" applyBorder="1" applyAlignment="1">
      <alignment horizontal="right" vertical="center"/>
    </xf>
    <xf numFmtId="0" fontId="10" fillId="0" borderId="0" xfId="4" applyFont="1" applyBorder="1" applyAlignment="1">
      <alignment vertical="center"/>
    </xf>
    <xf numFmtId="181" fontId="10" fillId="0" borderId="0" xfId="19" applyNumberFormat="1" applyFont="1" applyFill="1" applyBorder="1" applyAlignment="1">
      <alignment horizontal="right" vertical="center"/>
    </xf>
    <xf numFmtId="171" fontId="10" fillId="0" borderId="0" xfId="19" applyNumberFormat="1" applyFont="1" applyFill="1"/>
    <xf numFmtId="1" fontId="11" fillId="0" borderId="20" xfId="4" applyNumberFormat="1" applyFont="1" applyBorder="1" applyAlignment="1">
      <alignment horizontal="centerContinuous" vertical="center"/>
    </xf>
    <xf numFmtId="1" fontId="11" fillId="0" borderId="21" xfId="4" applyNumberFormat="1" applyFont="1" applyBorder="1" applyAlignment="1">
      <alignment horizontal="centerContinuous" vertical="center"/>
    </xf>
    <xf numFmtId="1" fontId="10" fillId="0" borderId="30" xfId="4" applyNumberFormat="1" applyFont="1" applyBorder="1" applyAlignment="1">
      <alignment horizontal="center" vertical="center"/>
    </xf>
    <xf numFmtId="1" fontId="10" fillId="0" borderId="28" xfId="4" applyNumberFormat="1" applyFont="1" applyBorder="1" applyAlignment="1">
      <alignment vertical="center"/>
    </xf>
    <xf numFmtId="1" fontId="10" fillId="0" borderId="29" xfId="4" applyNumberFormat="1" applyFont="1" applyBorder="1" applyAlignment="1">
      <alignment vertical="center" wrapText="1"/>
    </xf>
    <xf numFmtId="1" fontId="10" fillId="0" borderId="29" xfId="4" applyNumberFormat="1" applyFont="1" applyBorder="1" applyAlignment="1">
      <alignment horizontal="left" vertical="center" wrapText="1"/>
    </xf>
    <xf numFmtId="1" fontId="10" fillId="0" borderId="31" xfId="4" applyNumberFormat="1" applyFont="1" applyBorder="1" applyAlignment="1">
      <alignment horizontal="centerContinuous"/>
    </xf>
    <xf numFmtId="1" fontId="10" fillId="0" borderId="15" xfId="4" applyNumberFormat="1" applyFont="1" applyBorder="1" applyAlignment="1">
      <alignment horizontal="centerContinuous"/>
    </xf>
    <xf numFmtId="0" fontId="9" fillId="0" borderId="38" xfId="4" applyFont="1" applyBorder="1" applyAlignment="1">
      <alignment vertical="center"/>
    </xf>
    <xf numFmtId="0" fontId="11" fillId="0" borderId="38" xfId="4" applyFont="1" applyBorder="1" applyAlignment="1">
      <alignment horizontal="right"/>
    </xf>
    <xf numFmtId="181" fontId="10" fillId="0" borderId="0" xfId="19" applyNumberFormat="1" applyFont="1" applyFill="1" applyBorder="1" applyAlignment="1">
      <alignment horizontal="right"/>
    </xf>
    <xf numFmtId="0" fontId="18" fillId="0" borderId="0" xfId="4" quotePrefix="1" applyFont="1" applyAlignment="1">
      <alignment horizontal="left"/>
    </xf>
    <xf numFmtId="0" fontId="17" fillId="0" borderId="0" xfId="11" applyFill="1"/>
    <xf numFmtId="0" fontId="45" fillId="18" borderId="9" xfId="14" applyFont="1" applyFill="1" applyBorder="1" applyAlignment="1">
      <alignment vertical="center"/>
    </xf>
    <xf numFmtId="187" fontId="45" fillId="18" borderId="24" xfId="14" applyNumberFormat="1" applyFont="1" applyFill="1" applyBorder="1" applyAlignment="1">
      <alignment vertical="center"/>
    </xf>
    <xf numFmtId="187" fontId="45" fillId="18" borderId="35" xfId="14" applyNumberFormat="1" applyFont="1" applyFill="1" applyBorder="1"/>
    <xf numFmtId="0" fontId="45" fillId="0" borderId="115" xfId="11" applyFont="1" applyFill="1" applyBorder="1" applyAlignment="1">
      <alignment vertical="center"/>
    </xf>
    <xf numFmtId="0" fontId="45" fillId="0" borderId="9" xfId="11" applyFont="1" applyFill="1" applyBorder="1" applyAlignment="1">
      <alignment vertical="center"/>
    </xf>
    <xf numFmtId="0" fontId="45" fillId="0" borderId="10" xfId="11" applyFont="1" applyFill="1" applyBorder="1" applyAlignment="1">
      <alignment vertical="center"/>
    </xf>
    <xf numFmtId="0" fontId="3" fillId="0" borderId="0" xfId="24"/>
    <xf numFmtId="164" fontId="45" fillId="0" borderId="24" xfId="4" applyNumberFormat="1" applyFont="1" applyBorder="1" applyAlignment="1">
      <alignment vertical="center"/>
    </xf>
    <xf numFmtId="164" fontId="45" fillId="0" borderId="18" xfId="4" applyNumberFormat="1" applyFont="1" applyBorder="1" applyAlignment="1">
      <alignment vertical="center"/>
    </xf>
    <xf numFmtId="181" fontId="45" fillId="15" borderId="86" xfId="19" applyNumberFormat="1" applyFont="1" applyFill="1" applyBorder="1" applyAlignment="1">
      <alignment horizontal="right" vertical="center"/>
    </xf>
    <xf numFmtId="181" fontId="45" fillId="15" borderId="27" xfId="19" applyNumberFormat="1" applyFont="1" applyFill="1" applyBorder="1" applyAlignment="1">
      <alignment horizontal="right" vertical="center"/>
    </xf>
    <xf numFmtId="0" fontId="17" fillId="0" borderId="129" xfId="14" applyFont="1" applyBorder="1" applyAlignment="1">
      <alignment wrapText="1"/>
    </xf>
    <xf numFmtId="0" fontId="17" fillId="0" borderId="21" xfId="0" applyFont="1" applyBorder="1" applyAlignment="1">
      <alignment textRotation="90"/>
    </xf>
    <xf numFmtId="0" fontId="17" fillId="0" borderId="22" xfId="0" applyFont="1" applyBorder="1" applyAlignment="1">
      <alignment textRotation="90"/>
    </xf>
    <xf numFmtId="0" fontId="17" fillId="0" borderId="28" xfId="0" applyFont="1" applyBorder="1"/>
    <xf numFmtId="0" fontId="17" fillId="0" borderId="28" xfId="0" applyFont="1" applyBorder="1" applyAlignment="1">
      <alignment vertical="center"/>
    </xf>
    <xf numFmtId="0" fontId="17" fillId="0" borderId="24" xfId="0" applyFont="1" applyBorder="1"/>
    <xf numFmtId="190" fontId="17" fillId="0" borderId="0" xfId="0" applyNumberFormat="1" applyFont="1"/>
    <xf numFmtId="0" fontId="17" fillId="0" borderId="7" xfId="13" quotePrefix="1" applyFont="1" applyBorder="1" applyAlignment="1">
      <alignment horizontal="center" vertical="center"/>
    </xf>
    <xf numFmtId="0" fontId="17" fillId="0" borderId="6" xfId="13" quotePrefix="1" applyFont="1" applyBorder="1" applyAlignment="1">
      <alignment horizontal="center" vertical="center"/>
    </xf>
    <xf numFmtId="168" fontId="16" fillId="0" borderId="0" xfId="24" applyNumberFormat="1" applyFont="1" applyAlignment="1">
      <alignment vertical="center"/>
    </xf>
    <xf numFmtId="0" fontId="10" fillId="0" borderId="0" xfId="24" applyFont="1"/>
    <xf numFmtId="0" fontId="58" fillId="9" borderId="0" xfId="24" applyFont="1" applyFill="1" applyAlignment="1">
      <alignment horizontal="centerContinuous" vertical="center"/>
    </xf>
    <xf numFmtId="0" fontId="62" fillId="9" borderId="0" xfId="24" applyFont="1" applyFill="1" applyAlignment="1">
      <alignment horizontal="centerContinuous" vertical="center"/>
    </xf>
    <xf numFmtId="167" fontId="60" fillId="9" borderId="0" xfId="24" applyNumberFormat="1" applyFont="1" applyFill="1" applyAlignment="1">
      <alignment horizontal="centerContinuous" vertical="center"/>
    </xf>
    <xf numFmtId="0" fontId="16" fillId="0" borderId="0" xfId="24" applyFont="1" applyAlignment="1">
      <alignment horizontal="centerContinuous"/>
    </xf>
    <xf numFmtId="166" fontId="16" fillId="0" borderId="0" xfId="24" applyNumberFormat="1" applyFont="1" applyAlignment="1">
      <alignment horizontal="centerContinuous"/>
    </xf>
    <xf numFmtId="0" fontId="16" fillId="0" borderId="0" xfId="24" applyFont="1" applyFill="1" applyBorder="1" applyAlignment="1">
      <alignment horizontal="centerContinuous" vertical="center"/>
    </xf>
    <xf numFmtId="166" fontId="16" fillId="0" borderId="0" xfId="24" applyNumberFormat="1" applyFont="1" applyFill="1" applyBorder="1" applyAlignment="1">
      <alignment horizontal="centerContinuous" vertical="center"/>
    </xf>
    <xf numFmtId="0" fontId="16" fillId="0" borderId="0" xfId="24" applyFont="1" applyAlignment="1">
      <alignment horizontal="centerContinuous" vertical="center"/>
    </xf>
    <xf numFmtId="0" fontId="26" fillId="0" borderId="0" xfId="24" applyFont="1" applyAlignment="1">
      <alignment horizontal="centerContinuous" vertical="center"/>
    </xf>
    <xf numFmtId="0" fontId="10" fillId="0" borderId="0" xfId="24" applyFont="1" applyAlignment="1">
      <alignment horizontal="left"/>
    </xf>
    <xf numFmtId="166" fontId="10" fillId="0" borderId="0" xfId="24" applyNumberFormat="1" applyFont="1" applyAlignment="1">
      <alignment horizontal="left"/>
    </xf>
    <xf numFmtId="1" fontId="45" fillId="0" borderId="30" xfId="24" applyNumberFormat="1" applyFont="1" applyBorder="1" applyAlignment="1">
      <alignment horizontal="center" vertical="center"/>
    </xf>
    <xf numFmtId="1" fontId="45" fillId="0" borderId="28" xfId="24" applyNumberFormat="1" applyFont="1" applyBorder="1" applyAlignment="1">
      <alignment vertical="center"/>
    </xf>
    <xf numFmtId="164" fontId="45" fillId="0" borderId="28" xfId="24" applyNumberFormat="1" applyFont="1" applyBorder="1" applyAlignment="1">
      <alignment vertical="center"/>
    </xf>
    <xf numFmtId="165" fontId="45" fillId="0" borderId="33" xfId="24" applyNumberFormat="1" applyFont="1" applyBorder="1" applyAlignment="1">
      <alignment vertical="center"/>
    </xf>
    <xf numFmtId="1" fontId="45" fillId="0" borderId="6" xfId="24" applyNumberFormat="1" applyFont="1" applyBorder="1" applyAlignment="1">
      <alignment horizontal="center" vertical="center"/>
    </xf>
    <xf numFmtId="1" fontId="45" fillId="0" borderId="29" xfId="24" applyNumberFormat="1" applyFont="1" applyBorder="1" applyAlignment="1">
      <alignment vertical="center"/>
    </xf>
    <xf numFmtId="164" fontId="45" fillId="0" borderId="24" xfId="24" applyNumberFormat="1" applyFont="1" applyBorder="1" applyAlignment="1">
      <alignment vertical="center"/>
    </xf>
    <xf numFmtId="165" fontId="45" fillId="0" borderId="34" xfId="24" applyNumberFormat="1" applyFont="1" applyBorder="1" applyAlignment="1">
      <alignment vertical="center"/>
    </xf>
    <xf numFmtId="165" fontId="45" fillId="0" borderId="35" xfId="24" applyNumberFormat="1" applyFont="1" applyBorder="1" applyAlignment="1">
      <alignment vertical="center"/>
    </xf>
    <xf numFmtId="1" fontId="45" fillId="0" borderId="29" xfId="24" applyNumberFormat="1" applyFont="1" applyBorder="1" applyAlignment="1">
      <alignment vertical="center" wrapText="1"/>
    </xf>
    <xf numFmtId="1" fontId="45" fillId="0" borderId="29" xfId="24" applyNumberFormat="1" applyFont="1" applyBorder="1" applyAlignment="1">
      <alignment horizontal="left" vertical="center" wrapText="1"/>
    </xf>
    <xf numFmtId="1" fontId="45" fillId="0" borderId="6" xfId="24" quotePrefix="1" applyNumberFormat="1" applyFont="1" applyBorder="1" applyAlignment="1">
      <alignment horizontal="center" vertical="center"/>
    </xf>
    <xf numFmtId="1" fontId="45" fillId="0" borderId="9" xfId="24" applyNumberFormat="1" applyFont="1" applyBorder="1" applyAlignment="1">
      <alignment horizontal="center" vertical="center"/>
    </xf>
    <xf numFmtId="1" fontId="45" fillId="0" borderId="24" xfId="24" applyNumberFormat="1" applyFont="1" applyBorder="1" applyAlignment="1">
      <alignment vertical="center"/>
    </xf>
    <xf numFmtId="1" fontId="45" fillId="0" borderId="7" xfId="24" applyNumberFormat="1" applyFont="1" applyBorder="1" applyAlignment="1">
      <alignment horizontal="center" vertical="center"/>
    </xf>
    <xf numFmtId="1" fontId="45" fillId="0" borderId="17" xfId="24" applyNumberFormat="1" applyFont="1" applyBorder="1" applyAlignment="1">
      <alignment vertical="center"/>
    </xf>
    <xf numFmtId="1" fontId="45" fillId="0" borderId="8" xfId="24" applyNumberFormat="1" applyFont="1" applyBorder="1" applyAlignment="1">
      <alignment horizontal="center" vertical="center"/>
    </xf>
    <xf numFmtId="1" fontId="45" fillId="0" borderId="18" xfId="24" applyNumberFormat="1" applyFont="1" applyBorder="1" applyAlignment="1">
      <alignment vertical="center"/>
    </xf>
    <xf numFmtId="164" fontId="45" fillId="0" borderId="18" xfId="24" applyNumberFormat="1" applyFont="1" applyBorder="1" applyAlignment="1">
      <alignment vertical="center"/>
    </xf>
    <xf numFmtId="1" fontId="45" fillId="0" borderId="31" xfId="24" applyNumberFormat="1" applyFont="1" applyBorder="1" applyAlignment="1">
      <alignment horizontal="centerContinuous" vertical="center"/>
    </xf>
    <xf numFmtId="1" fontId="45" fillId="0" borderId="15" xfId="24" applyNumberFormat="1" applyFont="1" applyBorder="1" applyAlignment="1">
      <alignment horizontal="centerContinuous" vertical="center"/>
    </xf>
    <xf numFmtId="164" fontId="45" fillId="0" borderId="15" xfId="24" applyNumberFormat="1" applyFont="1" applyBorder="1" applyAlignment="1">
      <alignment vertical="center"/>
    </xf>
    <xf numFmtId="164" fontId="45" fillId="0" borderId="3" xfId="24" applyNumberFormat="1" applyFont="1" applyBorder="1" applyAlignment="1">
      <alignment vertical="center"/>
    </xf>
    <xf numFmtId="165" fontId="45" fillId="0" borderId="14" xfId="24" applyNumberFormat="1" applyFont="1" applyBorder="1" applyAlignment="1">
      <alignment vertical="center"/>
    </xf>
    <xf numFmtId="0" fontId="37" fillId="0" borderId="38" xfId="24" applyFont="1" applyBorder="1" applyAlignment="1">
      <alignment vertical="center"/>
    </xf>
    <xf numFmtId="0" fontId="39" fillId="0" borderId="38" xfId="24" applyFont="1" applyBorder="1" applyAlignment="1">
      <alignment horizontal="right" vertical="center"/>
    </xf>
    <xf numFmtId="0" fontId="45" fillId="0" borderId="32" xfId="24" applyFont="1" applyBorder="1" applyAlignment="1">
      <alignment vertical="center"/>
    </xf>
    <xf numFmtId="165" fontId="45" fillId="0" borderId="86" xfId="24" applyNumberFormat="1" applyFont="1" applyBorder="1" applyAlignment="1">
      <alignment vertical="center"/>
    </xf>
    <xf numFmtId="165" fontId="45" fillId="0" borderId="37" xfId="24" applyNumberFormat="1" applyFont="1" applyBorder="1" applyAlignment="1">
      <alignment vertical="center"/>
    </xf>
    <xf numFmtId="166" fontId="45" fillId="0" borderId="39" xfId="24" applyNumberFormat="1" applyFont="1" applyBorder="1" applyAlignment="1">
      <alignment vertical="center"/>
    </xf>
    <xf numFmtId="0" fontId="45" fillId="0" borderId="0" xfId="24" applyFont="1" applyAlignment="1">
      <alignment vertical="center"/>
    </xf>
    <xf numFmtId="0" fontId="10" fillId="0" borderId="0" xfId="24" applyFont="1" applyAlignment="1">
      <alignment vertical="center"/>
    </xf>
    <xf numFmtId="166" fontId="10" fillId="0" borderId="0" xfId="24" applyNumberFormat="1" applyFont="1" applyAlignment="1">
      <alignment vertical="center"/>
    </xf>
    <xf numFmtId="168" fontId="20" fillId="0" borderId="0" xfId="24" applyNumberFormat="1" applyFont="1" applyAlignment="1">
      <alignment vertical="center"/>
    </xf>
    <xf numFmtId="0" fontId="14" fillId="0" borderId="0" xfId="24" applyFont="1"/>
    <xf numFmtId="166" fontId="10" fillId="0" borderId="0" xfId="24" applyNumberFormat="1" applyFont="1"/>
    <xf numFmtId="0" fontId="45" fillId="0" borderId="6" xfId="24" quotePrefix="1" applyNumberFormat="1" applyFont="1" applyBorder="1" applyAlignment="1">
      <alignment horizontal="center" vertical="center"/>
    </xf>
    <xf numFmtId="1" fontId="17" fillId="0" borderId="29" xfId="24" applyNumberFormat="1" applyFont="1" applyBorder="1" applyAlignment="1">
      <alignment vertical="center"/>
    </xf>
    <xf numFmtId="164" fontId="17" fillId="0" borderId="29" xfId="24" applyNumberFormat="1" applyFont="1" applyBorder="1" applyAlignment="1">
      <alignment vertical="center"/>
    </xf>
    <xf numFmtId="166" fontId="17" fillId="0" borderId="34" xfId="24" applyNumberFormat="1" applyFont="1" applyBorder="1" applyAlignment="1">
      <alignment vertical="center"/>
    </xf>
    <xf numFmtId="164" fontId="17" fillId="0" borderId="15" xfId="24" applyNumberFormat="1" applyFont="1" applyBorder="1" applyAlignment="1">
      <alignment vertical="center"/>
    </xf>
    <xf numFmtId="164" fontId="17" fillId="0" borderId="3" xfId="24" applyNumberFormat="1" applyFont="1" applyBorder="1" applyAlignment="1">
      <alignment vertical="center"/>
    </xf>
    <xf numFmtId="166" fontId="17" fillId="0" borderId="14" xfId="24" applyNumberFormat="1" applyFont="1" applyBorder="1" applyAlignment="1">
      <alignment vertical="center"/>
    </xf>
    <xf numFmtId="0" fontId="37" fillId="0" borderId="0" xfId="24" applyFont="1" applyBorder="1" applyAlignment="1">
      <alignment vertical="center"/>
    </xf>
    <xf numFmtId="1" fontId="39" fillId="0" borderId="38" xfId="24" applyNumberFormat="1" applyFont="1" applyBorder="1" applyAlignment="1">
      <alignment horizontal="right" vertical="center"/>
    </xf>
    <xf numFmtId="164" fontId="45" fillId="0" borderId="32" xfId="24" applyNumberFormat="1" applyFont="1" applyBorder="1" applyAlignment="1">
      <alignment vertical="center"/>
    </xf>
    <xf numFmtId="177" fontId="45" fillId="0" borderId="36" xfId="19" applyNumberFormat="1" applyFont="1" applyBorder="1" applyAlignment="1">
      <alignment vertical="center"/>
    </xf>
    <xf numFmtId="165" fontId="17" fillId="0" borderId="37" xfId="24" applyNumberFormat="1" applyFont="1" applyBorder="1" applyAlignment="1">
      <alignment vertical="center"/>
    </xf>
    <xf numFmtId="164" fontId="10" fillId="0" borderId="0" xfId="24" applyNumberFormat="1" applyFont="1" applyBorder="1"/>
    <xf numFmtId="166" fontId="10" fillId="0" borderId="0" xfId="24" applyNumberFormat="1" applyFont="1" applyBorder="1"/>
    <xf numFmtId="0" fontId="21" fillId="0" borderId="0" xfId="24" applyFont="1" applyAlignment="1">
      <alignment vertical="top"/>
    </xf>
    <xf numFmtId="0" fontId="45" fillId="0" borderId="0" xfId="24" applyFont="1"/>
    <xf numFmtId="1" fontId="45" fillId="0" borderId="20" xfId="24" applyNumberFormat="1" applyFont="1" applyBorder="1" applyAlignment="1">
      <alignment horizontal="centerContinuous" vertical="center"/>
    </xf>
    <xf numFmtId="1" fontId="45" fillId="0" borderId="21" xfId="24" applyNumberFormat="1" applyFont="1" applyBorder="1" applyAlignment="1">
      <alignment horizontal="centerContinuous" vertical="center"/>
    </xf>
    <xf numFmtId="1" fontId="45" fillId="0" borderId="22" xfId="24" applyNumberFormat="1" applyFont="1" applyBorder="1" applyAlignment="1">
      <alignment horizontal="centerContinuous" vertical="center"/>
    </xf>
    <xf numFmtId="1" fontId="45" fillId="0" borderId="20" xfId="24" applyNumberFormat="1" applyFont="1" applyBorder="1" applyAlignment="1">
      <alignment horizontal="center" vertical="center"/>
    </xf>
    <xf numFmtId="1" fontId="45" fillId="0" borderId="21" xfId="24" applyNumberFormat="1" applyFont="1" applyBorder="1" applyAlignment="1">
      <alignment horizontal="center" vertical="center"/>
    </xf>
    <xf numFmtId="1" fontId="45" fillId="0" borderId="3" xfId="24" applyNumberFormat="1" applyFont="1" applyBorder="1" applyAlignment="1">
      <alignment horizontal="center" vertical="center" wrapText="1"/>
    </xf>
    <xf numFmtId="1" fontId="45" fillId="0" borderId="13" xfId="24" applyNumberFormat="1" applyFont="1" applyBorder="1" applyAlignment="1">
      <alignment horizontal="center" vertical="center" wrapText="1"/>
    </xf>
    <xf numFmtId="0" fontId="17" fillId="0" borderId="30" xfId="24" applyFont="1" applyBorder="1" applyAlignment="1">
      <alignment horizontal="center" vertical="center"/>
    </xf>
    <xf numFmtId="1" fontId="17" fillId="0" borderId="28" xfId="24" applyNumberFormat="1" applyFont="1" applyBorder="1" applyAlignment="1">
      <alignment vertical="center" wrapText="1"/>
    </xf>
    <xf numFmtId="175" fontId="17" fillId="0" borderId="33" xfId="24" applyNumberFormat="1" applyFont="1" applyBorder="1" applyAlignment="1">
      <alignment vertical="center"/>
    </xf>
    <xf numFmtId="0" fontId="17" fillId="0" borderId="6" xfId="24" applyFont="1" applyBorder="1" applyAlignment="1">
      <alignment horizontal="center" vertical="center"/>
    </xf>
    <xf numFmtId="1" fontId="17" fillId="0" borderId="29" xfId="24" applyNumberFormat="1" applyFont="1" applyBorder="1" applyAlignment="1">
      <alignment vertical="center" wrapText="1"/>
    </xf>
    <xf numFmtId="175" fontId="17" fillId="0" borderId="34" xfId="24" applyNumberFormat="1" applyFont="1" applyBorder="1" applyAlignment="1">
      <alignment vertical="center"/>
    </xf>
    <xf numFmtId="0" fontId="17" fillId="0" borderId="6" xfId="24" quotePrefix="1" applyFont="1" applyBorder="1" applyAlignment="1">
      <alignment horizontal="center" vertical="center"/>
    </xf>
    <xf numFmtId="0" fontId="17" fillId="0" borderId="10" xfId="24" applyFont="1" applyBorder="1" applyAlignment="1">
      <alignment horizontal="center" vertical="center"/>
    </xf>
    <xf numFmtId="1" fontId="17" fillId="0" borderId="44" xfId="24" applyNumberFormat="1" applyFont="1" applyBorder="1" applyAlignment="1">
      <alignment vertical="center" wrapText="1"/>
    </xf>
    <xf numFmtId="1" fontId="17" fillId="0" borderId="24" xfId="24" applyNumberFormat="1" applyFont="1" applyBorder="1" applyAlignment="1">
      <alignment vertical="center" wrapText="1"/>
    </xf>
    <xf numFmtId="175" fontId="17" fillId="0" borderId="48" xfId="24" applyNumberFormat="1" applyFont="1" applyBorder="1" applyAlignment="1">
      <alignment vertical="center"/>
    </xf>
    <xf numFmtId="0" fontId="17" fillId="0" borderId="0" xfId="24" applyFont="1" applyBorder="1" applyAlignment="1">
      <alignment horizontal="center"/>
    </xf>
    <xf numFmtId="1" fontId="17" fillId="0" borderId="0" xfId="24" applyNumberFormat="1" applyFont="1" applyBorder="1" applyAlignment="1">
      <alignment vertical="top" wrapText="1"/>
    </xf>
    <xf numFmtId="0" fontId="17" fillId="0" borderId="0" xfId="24" applyFont="1" applyFill="1" applyAlignment="1">
      <alignment vertical="center"/>
    </xf>
    <xf numFmtId="0" fontId="17" fillId="0" borderId="0" xfId="24" applyFont="1" applyFill="1" applyBorder="1" applyAlignment="1">
      <alignment vertical="center"/>
    </xf>
    <xf numFmtId="10" fontId="39" fillId="0" borderId="0" xfId="24" applyNumberFormat="1" applyFont="1" applyBorder="1" applyAlignment="1">
      <alignment vertical="center"/>
    </xf>
    <xf numFmtId="1" fontId="39" fillId="0" borderId="89" xfId="24" applyNumberFormat="1" applyFont="1" applyBorder="1" applyAlignment="1">
      <alignment horizontal="centerContinuous"/>
    </xf>
    <xf numFmtId="1" fontId="17" fillId="0" borderId="90" xfId="24" applyNumberFormat="1" applyFont="1" applyBorder="1" applyAlignment="1">
      <alignment horizontal="center" vertical="center"/>
    </xf>
    <xf numFmtId="174" fontId="17" fillId="0" borderId="49" xfId="24" applyNumberFormat="1" applyFont="1" applyBorder="1" applyAlignment="1">
      <alignment vertical="center"/>
    </xf>
    <xf numFmtId="176" fontId="17" fillId="0" borderId="49" xfId="24" applyNumberFormat="1" applyFont="1" applyBorder="1" applyAlignment="1">
      <alignment vertical="center"/>
    </xf>
    <xf numFmtId="177" fontId="17" fillId="0" borderId="50" xfId="24" applyNumberFormat="1" applyFont="1" applyBorder="1" applyAlignment="1">
      <alignment vertical="center"/>
    </xf>
    <xf numFmtId="0" fontId="17" fillId="0" borderId="0" xfId="24" applyFont="1" applyAlignment="1">
      <alignment vertical="center"/>
    </xf>
    <xf numFmtId="0" fontId="3" fillId="0" borderId="0" xfId="24" applyAlignment="1">
      <alignment vertical="center"/>
    </xf>
    <xf numFmtId="0" fontId="7" fillId="0" borderId="0" xfId="24" applyFont="1" applyAlignment="1">
      <alignment vertical="center"/>
    </xf>
    <xf numFmtId="0" fontId="3" fillId="0" borderId="0" xfId="24" quotePrefix="1"/>
    <xf numFmtId="0" fontId="17" fillId="0" borderId="2" xfId="12" applyFont="1" applyBorder="1" applyAlignment="1">
      <alignment horizontal="center" vertical="center"/>
    </xf>
    <xf numFmtId="178" fontId="17" fillId="4" borderId="98" xfId="12" applyNumberFormat="1" applyFont="1" applyFill="1" applyBorder="1" applyAlignment="1">
      <alignment vertical="center"/>
    </xf>
    <xf numFmtId="10" fontId="17" fillId="0" borderId="29" xfId="12" applyNumberFormat="1" applyFont="1" applyBorder="1"/>
    <xf numFmtId="10" fontId="3" fillId="0" borderId="34" xfId="24" quotePrefix="1" applyNumberFormat="1" applyBorder="1"/>
    <xf numFmtId="178" fontId="17" fillId="4" borderId="25" xfId="12" applyNumberFormat="1" applyFont="1" applyFill="1" applyBorder="1" applyAlignment="1">
      <alignment vertical="center"/>
    </xf>
    <xf numFmtId="10" fontId="17" fillId="0" borderId="24" xfId="12" applyNumberFormat="1" applyFont="1" applyBorder="1"/>
    <xf numFmtId="10" fontId="3" fillId="0" borderId="35" xfId="24" quotePrefix="1" applyNumberFormat="1" applyBorder="1"/>
    <xf numFmtId="178" fontId="17" fillId="4" borderId="18" xfId="12" applyNumberFormat="1" applyFont="1" applyFill="1" applyBorder="1" applyAlignment="1">
      <alignment vertical="center"/>
    </xf>
    <xf numFmtId="178" fontId="17" fillId="4" borderId="92" xfId="12" applyNumberFormat="1" applyFont="1" applyFill="1" applyBorder="1" applyAlignment="1">
      <alignment vertical="center"/>
    </xf>
    <xf numFmtId="10" fontId="17" fillId="0" borderId="26" xfId="12" applyNumberFormat="1" applyFont="1" applyBorder="1"/>
    <xf numFmtId="10" fontId="3" fillId="0" borderId="73" xfId="24" quotePrefix="1" applyNumberFormat="1" applyBorder="1"/>
    <xf numFmtId="178" fontId="17" fillId="5" borderId="2" xfId="12" applyNumberFormat="1" applyFont="1" applyFill="1" applyBorder="1" applyAlignment="1">
      <alignment vertical="center"/>
    </xf>
    <xf numFmtId="10" fontId="17" fillId="5" borderId="3" xfId="12" applyNumberFormat="1" applyFont="1" applyFill="1" applyBorder="1" applyAlignment="1">
      <alignment vertical="center"/>
    </xf>
    <xf numFmtId="178" fontId="17" fillId="4" borderId="102" xfId="12" applyNumberFormat="1" applyFont="1" applyFill="1" applyBorder="1" applyAlignment="1">
      <alignment vertical="center"/>
    </xf>
    <xf numFmtId="10" fontId="17" fillId="0" borderId="15" xfId="12" applyNumberFormat="1" applyFont="1" applyBorder="1"/>
    <xf numFmtId="10" fontId="3" fillId="0" borderId="14" xfId="24" quotePrefix="1" applyNumberFormat="1" applyBorder="1"/>
    <xf numFmtId="0" fontId="17" fillId="0" borderId="10" xfId="12" quotePrefix="1" applyFont="1" applyBorder="1" applyAlignment="1">
      <alignment horizontal="center" vertical="center"/>
    </xf>
    <xf numFmtId="0" fontId="17" fillId="0" borderId="6" xfId="12" quotePrefix="1" applyFont="1" applyBorder="1" applyAlignment="1">
      <alignment horizontal="center" vertical="center"/>
    </xf>
    <xf numFmtId="0" fontId="17" fillId="0" borderId="9" xfId="12" quotePrefix="1" applyFont="1" applyBorder="1" applyAlignment="1">
      <alignment horizontal="center" vertical="center"/>
    </xf>
    <xf numFmtId="178" fontId="17" fillId="5" borderId="2" xfId="12" applyNumberFormat="1" applyFont="1" applyFill="1" applyBorder="1" applyAlignment="1">
      <alignment horizontal="right" vertical="center"/>
    </xf>
    <xf numFmtId="10" fontId="17" fillId="18" borderId="27" xfId="12" applyNumberFormat="1" applyFont="1" applyFill="1" applyBorder="1"/>
    <xf numFmtId="10" fontId="3" fillId="18" borderId="57" xfId="24" quotePrefix="1" applyNumberFormat="1" applyFill="1" applyBorder="1"/>
    <xf numFmtId="0" fontId="37" fillId="0" borderId="0" xfId="8" applyFont="1"/>
    <xf numFmtId="1" fontId="45" fillId="0" borderId="21" xfId="24" applyNumberFormat="1" applyFont="1" applyBorder="1" applyAlignment="1">
      <alignment horizontal="left" vertical="center"/>
    </xf>
    <xf numFmtId="0" fontId="17" fillId="0" borderId="21" xfId="24" applyFont="1" applyBorder="1" applyAlignment="1">
      <alignment horizontal="center" vertical="center"/>
    </xf>
    <xf numFmtId="0" fontId="17" fillId="0" borderId="22" xfId="24" applyFont="1" applyBorder="1" applyAlignment="1">
      <alignment horizontal="center" vertical="center"/>
    </xf>
    <xf numFmtId="178" fontId="17" fillId="0" borderId="28" xfId="24" applyNumberFormat="1" applyFont="1" applyBorder="1" applyAlignment="1">
      <alignment vertical="center"/>
    </xf>
    <xf numFmtId="178" fontId="17" fillId="15" borderId="29" xfId="24" applyNumberFormat="1" applyFont="1" applyFill="1" applyBorder="1" applyAlignment="1">
      <alignment vertical="center"/>
    </xf>
    <xf numFmtId="10" fontId="17" fillId="15" borderId="33" xfId="24" applyNumberFormat="1" applyFont="1" applyFill="1" applyBorder="1" applyAlignment="1">
      <alignment vertical="center"/>
    </xf>
    <xf numFmtId="178" fontId="17" fillId="0" borderId="24" xfId="24" applyNumberFormat="1" applyFont="1" applyBorder="1" applyAlignment="1">
      <alignment vertical="center"/>
    </xf>
    <xf numFmtId="10" fontId="17" fillId="15" borderId="35" xfId="24" applyNumberFormat="1" applyFont="1" applyFill="1" applyBorder="1" applyAlignment="1">
      <alignment vertical="center"/>
    </xf>
    <xf numFmtId="0" fontId="17" fillId="0" borderId="9" xfId="24" applyFont="1" applyBorder="1" applyAlignment="1">
      <alignment horizontal="center" vertical="center"/>
    </xf>
    <xf numFmtId="0" fontId="17" fillId="0" borderId="45" xfId="24" applyFont="1" applyBorder="1" applyAlignment="1">
      <alignment horizontal="center" vertical="center"/>
    </xf>
    <xf numFmtId="1" fontId="17" fillId="0" borderId="47" xfId="24" applyNumberFormat="1" applyFont="1" applyBorder="1" applyAlignment="1">
      <alignment vertical="center" wrapText="1"/>
    </xf>
    <xf numFmtId="178" fontId="17" fillId="0" borderId="47" xfId="24" applyNumberFormat="1" applyFont="1" applyBorder="1" applyAlignment="1">
      <alignment vertical="center"/>
    </xf>
    <xf numFmtId="178" fontId="17" fillId="15" borderId="47" xfId="24" applyNumberFormat="1" applyFont="1" applyFill="1" applyBorder="1" applyAlignment="1">
      <alignment vertical="center"/>
    </xf>
    <xf numFmtId="10" fontId="17" fillId="15" borderId="48" xfId="24" applyNumberFormat="1" applyFont="1" applyFill="1" applyBorder="1" applyAlignment="1">
      <alignment vertical="center"/>
    </xf>
    <xf numFmtId="0" fontId="17" fillId="0" borderId="0" xfId="24" applyFont="1" applyBorder="1" applyAlignment="1">
      <alignment horizontal="center" vertical="center"/>
    </xf>
    <xf numFmtId="1" fontId="17" fillId="0" borderId="0" xfId="24" applyNumberFormat="1" applyFont="1" applyBorder="1" applyAlignment="1">
      <alignment vertical="center" wrapText="1"/>
    </xf>
    <xf numFmtId="178" fontId="8" fillId="0" borderId="0" xfId="24" applyNumberFormat="1" applyFont="1" applyAlignment="1">
      <alignment vertical="center"/>
    </xf>
    <xf numFmtId="0" fontId="8" fillId="0" borderId="0" xfId="24" applyFont="1" applyAlignment="1">
      <alignment vertical="center"/>
    </xf>
    <xf numFmtId="1" fontId="39" fillId="0" borderId="0" xfId="24" applyNumberFormat="1" applyFont="1" applyBorder="1" applyAlignment="1">
      <alignment horizontal="centerContinuous" vertical="center"/>
    </xf>
    <xf numFmtId="1" fontId="17" fillId="0" borderId="84" xfId="24" applyNumberFormat="1" applyFont="1" applyBorder="1" applyAlignment="1">
      <alignment horizontal="centerContinuous" vertical="center"/>
    </xf>
    <xf numFmtId="178" fontId="17" fillId="15" borderId="21" xfId="24" applyNumberFormat="1" applyFont="1" applyFill="1" applyBorder="1" applyAlignment="1">
      <alignment vertical="center"/>
    </xf>
    <xf numFmtId="178" fontId="17" fillId="15" borderId="49" xfId="24" applyNumberFormat="1" applyFont="1" applyFill="1" applyBorder="1" applyAlignment="1">
      <alignment vertical="center"/>
    </xf>
    <xf numFmtId="10" fontId="17" fillId="15" borderId="50" xfId="24" applyNumberFormat="1" applyFont="1" applyFill="1" applyBorder="1" applyAlignment="1">
      <alignment vertical="center"/>
    </xf>
    <xf numFmtId="0" fontId="39" fillId="0" borderId="0" xfId="24" applyFont="1" applyAlignment="1">
      <alignment vertical="center"/>
    </xf>
    <xf numFmtId="0" fontId="39" fillId="0" borderId="0" xfId="24" applyFont="1" applyAlignment="1">
      <alignment horizontal="right" vertical="center"/>
    </xf>
    <xf numFmtId="10" fontId="37" fillId="15" borderId="12" xfId="19" applyNumberFormat="1" applyFont="1" applyFill="1" applyBorder="1" applyAlignment="1">
      <alignment vertical="center"/>
    </xf>
    <xf numFmtId="10" fontId="37" fillId="15" borderId="27" xfId="19" applyNumberFormat="1" applyFont="1" applyFill="1" applyBorder="1" applyAlignment="1">
      <alignment vertical="center"/>
    </xf>
    <xf numFmtId="10" fontId="37" fillId="15" borderId="57" xfId="19" applyNumberFormat="1" applyFont="1" applyFill="1" applyBorder="1" applyAlignment="1">
      <alignment vertical="center"/>
    </xf>
    <xf numFmtId="171" fontId="45" fillId="0" borderId="0" xfId="19" applyNumberFormat="1" applyFont="1" applyBorder="1" applyAlignment="1">
      <alignment vertical="center"/>
    </xf>
    <xf numFmtId="0" fontId="15" fillId="0" borderId="0" xfId="24" applyFont="1" applyAlignment="1">
      <alignment vertical="center"/>
    </xf>
    <xf numFmtId="0" fontId="14" fillId="0" borderId="0" xfId="24" applyFont="1" applyAlignment="1">
      <alignment vertical="center"/>
    </xf>
    <xf numFmtId="0" fontId="16" fillId="0" borderId="0" xfId="24" applyFont="1" applyAlignment="1">
      <alignment horizontal="center" vertical="center"/>
    </xf>
    <xf numFmtId="0" fontId="8" fillId="0" borderId="0" xfId="24" applyFont="1"/>
    <xf numFmtId="1" fontId="17" fillId="0" borderId="21" xfId="24" applyNumberFormat="1" applyFont="1" applyBorder="1" applyAlignment="1">
      <alignment horizontal="center" vertical="center" wrapText="1"/>
    </xf>
    <xf numFmtId="1" fontId="17" fillId="0" borderId="3" xfId="24" applyNumberFormat="1" applyFont="1" applyBorder="1" applyAlignment="1">
      <alignment horizontal="center" vertical="center" wrapText="1"/>
    </xf>
    <xf numFmtId="1" fontId="17" fillId="0" borderId="13" xfId="24" applyNumberFormat="1" applyFont="1" applyBorder="1" applyAlignment="1">
      <alignment horizontal="center" vertical="center" wrapText="1"/>
    </xf>
    <xf numFmtId="174" fontId="17" fillId="0" borderId="28" xfId="24" applyNumberFormat="1" applyFont="1" applyBorder="1" applyAlignment="1">
      <alignment vertical="center"/>
    </xf>
    <xf numFmtId="181" fontId="17" fillId="15" borderId="33" xfId="24" applyNumberFormat="1" applyFont="1" applyFill="1" applyBorder="1" applyAlignment="1">
      <alignment vertical="center"/>
    </xf>
    <xf numFmtId="174" fontId="17" fillId="0" borderId="24" xfId="24" applyNumberFormat="1" applyFont="1" applyBorder="1" applyAlignment="1">
      <alignment vertical="center"/>
    </xf>
    <xf numFmtId="181" fontId="17" fillId="15" borderId="34" xfId="24" applyNumberFormat="1" applyFont="1" applyFill="1" applyBorder="1" applyAlignment="1">
      <alignment vertical="center"/>
    </xf>
    <xf numFmtId="181" fontId="17" fillId="15" borderId="72" xfId="24" applyNumberFormat="1" applyFont="1" applyFill="1" applyBorder="1" applyAlignment="1">
      <alignment vertical="center"/>
    </xf>
    <xf numFmtId="174" fontId="17" fillId="0" borderId="47" xfId="24" applyNumberFormat="1" applyFont="1" applyBorder="1" applyAlignment="1">
      <alignment vertical="center"/>
    </xf>
    <xf numFmtId="181" fontId="17" fillId="15" borderId="48" xfId="24" applyNumberFormat="1" applyFont="1" applyFill="1" applyBorder="1" applyAlignment="1">
      <alignment vertical="center"/>
    </xf>
    <xf numFmtId="174" fontId="17" fillId="0" borderId="0" xfId="24" applyNumberFormat="1" applyFont="1"/>
    <xf numFmtId="174" fontId="17" fillId="0" borderId="0" xfId="24" applyNumberFormat="1" applyFont="1" applyBorder="1"/>
    <xf numFmtId="181" fontId="17" fillId="0" borderId="0" xfId="24" applyNumberFormat="1" applyFont="1" applyBorder="1"/>
    <xf numFmtId="1" fontId="17" fillId="0" borderId="90" xfId="24" applyNumberFormat="1" applyFont="1" applyBorder="1" applyAlignment="1">
      <alignment horizontal="centerContinuous" vertical="center"/>
    </xf>
    <xf numFmtId="174" fontId="17" fillId="15" borderId="49" xfId="24" applyNumberFormat="1" applyFont="1" applyFill="1" applyBorder="1" applyAlignment="1">
      <alignment vertical="center"/>
    </xf>
    <xf numFmtId="176" fontId="17" fillId="15" borderId="49" xfId="24" applyNumberFormat="1" applyFont="1" applyFill="1" applyBorder="1" applyAlignment="1">
      <alignment vertical="center"/>
    </xf>
    <xf numFmtId="181" fontId="17" fillId="15" borderId="50" xfId="24" applyNumberFormat="1" applyFont="1" applyFill="1" applyBorder="1" applyAlignment="1">
      <alignment vertical="center"/>
    </xf>
    <xf numFmtId="0" fontId="17" fillId="0" borderId="0" xfId="24" applyFont="1"/>
    <xf numFmtId="0" fontId="22" fillId="0" borderId="0" xfId="24" applyFont="1"/>
    <xf numFmtId="0" fontId="23" fillId="0" borderId="0" xfId="24" applyFont="1"/>
    <xf numFmtId="0" fontId="7" fillId="0" borderId="0" xfId="24" applyFont="1"/>
    <xf numFmtId="1" fontId="10" fillId="0" borderId="0" xfId="24" applyNumberFormat="1" applyFont="1"/>
    <xf numFmtId="1" fontId="16" fillId="0" borderId="0" xfId="24" applyNumberFormat="1" applyFont="1" applyAlignment="1">
      <alignment horizontal="centerContinuous"/>
    </xf>
    <xf numFmtId="0" fontId="16" fillId="0" borderId="0" xfId="24" applyFont="1" applyFill="1" applyAlignment="1">
      <alignment horizontal="centerContinuous"/>
    </xf>
    <xf numFmtId="0" fontId="13" fillId="0" borderId="0" xfId="24" applyFont="1" applyBorder="1" applyAlignment="1">
      <alignment horizontal="centerContinuous"/>
    </xf>
    <xf numFmtId="1" fontId="13" fillId="0" borderId="0" xfId="24" applyNumberFormat="1" applyFont="1" applyBorder="1" applyAlignment="1">
      <alignment horizontal="centerContinuous"/>
    </xf>
    <xf numFmtId="0" fontId="13" fillId="0" borderId="0" xfId="24" applyFont="1" applyAlignment="1">
      <alignment horizontal="centerContinuous"/>
    </xf>
    <xf numFmtId="0" fontId="9" fillId="0" borderId="0" xfId="24" applyFont="1" applyAlignment="1">
      <alignment horizontal="centerContinuous"/>
    </xf>
    <xf numFmtId="0" fontId="3" fillId="0" borderId="0" xfId="24" applyAlignment="1">
      <alignment horizontal="centerContinuous"/>
    </xf>
    <xf numFmtId="1" fontId="3" fillId="0" borderId="0" xfId="24" applyNumberFormat="1" applyAlignment="1">
      <alignment horizontal="centerContinuous"/>
    </xf>
    <xf numFmtId="0" fontId="10" fillId="0" borderId="0" xfId="24" applyFont="1" applyAlignment="1">
      <alignment horizontal="centerContinuous"/>
    </xf>
    <xf numFmtId="0" fontId="26" fillId="0" borderId="0" xfId="24" applyFont="1" applyAlignment="1">
      <alignment horizontal="centerContinuous"/>
    </xf>
    <xf numFmtId="1" fontId="26" fillId="0" borderId="0" xfId="24" applyNumberFormat="1" applyFont="1" applyAlignment="1">
      <alignment horizontal="centerContinuous"/>
    </xf>
    <xf numFmtId="1" fontId="17" fillId="0" borderId="53" xfId="24" applyNumberFormat="1" applyFont="1" applyBorder="1" applyAlignment="1">
      <alignment horizontal="center" vertical="center" wrapText="1"/>
    </xf>
    <xf numFmtId="1" fontId="17" fillId="0" borderId="97" xfId="24" applyNumberFormat="1" applyFont="1" applyBorder="1" applyAlignment="1">
      <alignment horizontal="center" vertical="center" wrapText="1"/>
    </xf>
    <xf numFmtId="0" fontId="17" fillId="0" borderId="22" xfId="24" applyFont="1" applyBorder="1" applyAlignment="1">
      <alignment horizontal="center" vertical="center" wrapText="1"/>
    </xf>
    <xf numFmtId="1" fontId="17" fillId="0" borderId="28" xfId="24" applyNumberFormat="1" applyFont="1" applyBorder="1" applyAlignment="1">
      <alignment horizontal="left" vertical="center"/>
    </xf>
    <xf numFmtId="1" fontId="17" fillId="0" borderId="28" xfId="24" applyNumberFormat="1" applyFont="1" applyBorder="1" applyAlignment="1">
      <alignment horizontal="center" vertical="center" wrapText="1"/>
    </xf>
    <xf numFmtId="168" fontId="17" fillId="0" borderId="28" xfId="24" applyNumberFormat="1" applyFont="1" applyBorder="1" applyAlignment="1">
      <alignment vertical="center"/>
    </xf>
    <xf numFmtId="1" fontId="17" fillId="0" borderId="24" xfId="24" applyNumberFormat="1" applyFont="1" applyBorder="1" applyAlignment="1">
      <alignment horizontal="left" vertical="center"/>
    </xf>
    <xf numFmtId="1" fontId="17" fillId="0" borderId="24" xfId="24" applyNumberFormat="1" applyFont="1" applyBorder="1" applyAlignment="1">
      <alignment horizontal="center" vertical="center" wrapText="1"/>
    </xf>
    <xf numFmtId="168" fontId="17" fillId="0" borderId="24" xfId="24" applyNumberFormat="1" applyFont="1" applyBorder="1" applyAlignment="1">
      <alignment vertical="center"/>
    </xf>
    <xf numFmtId="168" fontId="17" fillId="15" borderId="35" xfId="24" applyNumberFormat="1" applyFont="1" applyFill="1" applyBorder="1" applyAlignment="1">
      <alignment horizontal="center" vertical="center"/>
    </xf>
    <xf numFmtId="1" fontId="17" fillId="0" borderId="24" xfId="24" applyNumberFormat="1" applyFont="1" applyBorder="1" applyAlignment="1">
      <alignment horizontal="left" vertical="center" wrapText="1"/>
    </xf>
    <xf numFmtId="1" fontId="17" fillId="0" borderId="18" xfId="24" applyNumberFormat="1" applyFont="1" applyBorder="1" applyAlignment="1">
      <alignment horizontal="left" vertical="center"/>
    </xf>
    <xf numFmtId="0" fontId="99" fillId="0" borderId="0" xfId="0" applyFont="1" applyFill="1"/>
    <xf numFmtId="0" fontId="74" fillId="0" borderId="24" xfId="3" applyFont="1" applyFill="1" applyBorder="1" applyAlignment="1">
      <alignment horizontal="center"/>
    </xf>
    <xf numFmtId="0" fontId="73" fillId="0" borderId="47" xfId="3" applyFont="1" applyFill="1" applyBorder="1" applyAlignment="1">
      <alignment horizontal="center"/>
    </xf>
    <xf numFmtId="0" fontId="73" fillId="14" borderId="29" xfId="3" quotePrefix="1" applyFont="1" applyFill="1" applyBorder="1" applyAlignment="1">
      <alignment horizontal="center"/>
    </xf>
    <xf numFmtId="0" fontId="11" fillId="0" borderId="3" xfId="4" applyFont="1" applyBorder="1" applyAlignment="1">
      <alignment horizontal="center" vertical="center"/>
    </xf>
    <xf numFmtId="0" fontId="11" fillId="19" borderId="3" xfId="4" quotePrefix="1" applyFont="1" applyFill="1" applyBorder="1" applyAlignment="1">
      <alignment horizontal="center" vertical="center"/>
    </xf>
    <xf numFmtId="164" fontId="11" fillId="0" borderId="0" xfId="4" applyNumberFormat="1" applyFont="1"/>
    <xf numFmtId="1" fontId="11" fillId="0" borderId="0" xfId="4" applyNumberFormat="1" applyFont="1" applyAlignment="1">
      <alignment vertical="center"/>
    </xf>
    <xf numFmtId="164" fontId="10" fillId="0" borderId="28" xfId="4" applyNumberFormat="1" applyFont="1" applyBorder="1" applyAlignment="1">
      <alignment horizontal="center" vertical="center"/>
    </xf>
    <xf numFmtId="164" fontId="10" fillId="19" borderId="33" xfId="4" applyNumberFormat="1" applyFont="1" applyFill="1" applyBorder="1" applyAlignment="1">
      <alignment horizontal="center" vertical="center"/>
    </xf>
    <xf numFmtId="164" fontId="10" fillId="0" borderId="24" xfId="4" applyNumberFormat="1" applyFont="1" applyBorder="1" applyAlignment="1">
      <alignment horizontal="center" vertical="center"/>
    </xf>
    <xf numFmtId="0" fontId="11" fillId="0" borderId="24" xfId="4" applyFont="1" applyBorder="1" applyAlignment="1">
      <alignment horizontal="center"/>
    </xf>
    <xf numFmtId="0" fontId="10" fillId="19" borderId="24" xfId="4" applyFont="1" applyFill="1" applyBorder="1" applyAlignment="1">
      <alignment horizontal="center"/>
    </xf>
    <xf numFmtId="164" fontId="10" fillId="19" borderId="35" xfId="4" applyNumberFormat="1" applyFont="1" applyFill="1" applyBorder="1" applyAlignment="1">
      <alignment horizontal="center" vertical="center"/>
    </xf>
    <xf numFmtId="0" fontId="11" fillId="0" borderId="24" xfId="2" applyFont="1" applyBorder="1" applyAlignment="1">
      <alignment horizontal="center"/>
    </xf>
    <xf numFmtId="0" fontId="11" fillId="19" borderId="24" xfId="4" applyFont="1" applyFill="1" applyBorder="1" applyAlignment="1">
      <alignment horizontal="center"/>
    </xf>
    <xf numFmtId="164" fontId="10" fillId="0" borderId="18" xfId="4" applyNumberFormat="1" applyFont="1" applyBorder="1" applyAlignment="1">
      <alignment horizontal="center" vertical="center"/>
    </xf>
    <xf numFmtId="164" fontId="10" fillId="19" borderId="69" xfId="4" applyNumberFormat="1" applyFont="1" applyFill="1" applyBorder="1" applyAlignment="1">
      <alignment horizontal="center" vertical="center"/>
    </xf>
    <xf numFmtId="164" fontId="10" fillId="0" borderId="24" xfId="4" applyNumberFormat="1" applyFont="1" applyBorder="1" applyAlignment="1">
      <alignment horizontal="center"/>
    </xf>
    <xf numFmtId="164" fontId="10" fillId="19" borderId="35" xfId="4" applyNumberFormat="1" applyFont="1" applyFill="1" applyBorder="1" applyAlignment="1">
      <alignment horizontal="center"/>
    </xf>
    <xf numFmtId="0" fontId="11" fillId="0" borderId="28" xfId="4" applyFont="1" applyBorder="1" applyAlignment="1">
      <alignment horizontal="center" vertical="center"/>
    </xf>
    <xf numFmtId="164" fontId="11" fillId="0" borderId="28" xfId="4" applyNumberFormat="1" applyFont="1" applyBorder="1" applyAlignment="1">
      <alignment horizontal="center" vertical="center"/>
    </xf>
    <xf numFmtId="0" fontId="10" fillId="19" borderId="28" xfId="4" applyFont="1" applyFill="1" applyBorder="1" applyAlignment="1">
      <alignment horizontal="center" vertical="center"/>
    </xf>
    <xf numFmtId="0" fontId="14" fillId="0" borderId="28" xfId="23" applyFont="1" applyBorder="1" applyAlignment="1">
      <alignment horizontal="center" vertical="center"/>
    </xf>
    <xf numFmtId="0" fontId="14" fillId="19" borderId="28" xfId="23" applyFont="1" applyFill="1" applyBorder="1" applyAlignment="1">
      <alignment horizontal="center" vertical="center"/>
    </xf>
    <xf numFmtId="0" fontId="10" fillId="0" borderId="28" xfId="4" applyFont="1" applyBorder="1" applyAlignment="1">
      <alignment horizontal="center" vertical="center"/>
    </xf>
    <xf numFmtId="0" fontId="11" fillId="0" borderId="24" xfId="4" applyFont="1" applyBorder="1" applyAlignment="1">
      <alignment horizontal="center" vertical="center"/>
    </xf>
    <xf numFmtId="164" fontId="11" fillId="0" borderId="24" xfId="4" applyNumberFormat="1" applyFont="1" applyBorder="1" applyAlignment="1">
      <alignment horizontal="center" vertical="center"/>
    </xf>
    <xf numFmtId="0" fontId="10" fillId="19" borderId="24" xfId="4" applyFont="1" applyFill="1" applyBorder="1" applyAlignment="1">
      <alignment horizontal="center" vertical="center"/>
    </xf>
    <xf numFmtId="0" fontId="14" fillId="0" borderId="24" xfId="23" applyFont="1" applyBorder="1" applyAlignment="1">
      <alignment horizontal="center" vertical="center"/>
    </xf>
    <xf numFmtId="0" fontId="14" fillId="19" borderId="24" xfId="23" applyFont="1" applyFill="1" applyBorder="1" applyAlignment="1">
      <alignment horizontal="center" vertical="center"/>
    </xf>
    <xf numFmtId="0" fontId="10" fillId="0" borderId="24" xfId="4" applyFont="1" applyBorder="1" applyAlignment="1">
      <alignment horizontal="center" vertical="center"/>
    </xf>
    <xf numFmtId="0" fontId="11" fillId="0" borderId="24" xfId="2" applyFont="1" applyBorder="1" applyAlignment="1">
      <alignment horizontal="center" vertical="center"/>
    </xf>
    <xf numFmtId="0" fontId="11" fillId="19" borderId="24" xfId="2" applyFont="1" applyFill="1" applyBorder="1" applyAlignment="1">
      <alignment horizontal="center" vertical="center"/>
    </xf>
    <xf numFmtId="0" fontId="11" fillId="19" borderId="24" xfId="4" applyFont="1" applyFill="1" applyBorder="1" applyAlignment="1">
      <alignment horizontal="center" vertical="center"/>
    </xf>
    <xf numFmtId="0" fontId="11" fillId="0" borderId="18" xfId="4" applyFont="1" applyBorder="1" applyAlignment="1">
      <alignment horizontal="center" vertical="center"/>
    </xf>
    <xf numFmtId="164" fontId="11" fillId="0" borderId="18" xfId="4" applyNumberFormat="1" applyFont="1" applyBorder="1" applyAlignment="1">
      <alignment horizontal="center" vertical="center"/>
    </xf>
    <xf numFmtId="0" fontId="11" fillId="19" borderId="18" xfId="4" applyFont="1" applyFill="1" applyBorder="1" applyAlignment="1">
      <alignment horizontal="center" vertical="center"/>
    </xf>
    <xf numFmtId="0" fontId="14" fillId="0" borderId="18" xfId="23" applyFont="1" applyBorder="1" applyAlignment="1">
      <alignment horizontal="center" vertical="center"/>
    </xf>
    <xf numFmtId="0" fontId="14" fillId="19" borderId="18" xfId="23" applyFont="1" applyFill="1" applyBorder="1" applyAlignment="1">
      <alignment horizontal="center" vertical="center"/>
    </xf>
    <xf numFmtId="0" fontId="11" fillId="0" borderId="18" xfId="2" applyFont="1" applyBorder="1" applyAlignment="1">
      <alignment horizontal="center" vertical="center"/>
    </xf>
    <xf numFmtId="0" fontId="11" fillId="19" borderId="18" xfId="2" applyFont="1" applyFill="1" applyBorder="1" applyAlignment="1">
      <alignment horizontal="center" vertical="center"/>
    </xf>
    <xf numFmtId="0" fontId="11" fillId="0" borderId="29" xfId="4" applyFont="1" applyBorder="1" applyAlignment="1">
      <alignment horizontal="center"/>
    </xf>
    <xf numFmtId="0" fontId="11" fillId="19" borderId="29" xfId="4" applyFont="1" applyFill="1" applyBorder="1" applyAlignment="1">
      <alignment horizontal="center"/>
    </xf>
    <xf numFmtId="0" fontId="74" fillId="0" borderId="29" xfId="23" applyFont="1" applyBorder="1" applyAlignment="1">
      <alignment horizontal="center"/>
    </xf>
    <xf numFmtId="0" fontId="11" fillId="0" borderId="29" xfId="2" applyFont="1" applyBorder="1" applyAlignment="1">
      <alignment horizontal="center"/>
    </xf>
    <xf numFmtId="0" fontId="74" fillId="0" borderId="24" xfId="23" applyFont="1" applyBorder="1" applyAlignment="1">
      <alignment horizontal="center"/>
    </xf>
    <xf numFmtId="164" fontId="10" fillId="0" borderId="29" xfId="4" applyNumberFormat="1" applyFont="1" applyBorder="1" applyAlignment="1">
      <alignment horizontal="center"/>
    </xf>
    <xf numFmtId="0" fontId="10" fillId="19" borderId="29" xfId="4" applyFont="1" applyFill="1" applyBorder="1" applyAlignment="1">
      <alignment horizontal="center"/>
    </xf>
    <xf numFmtId="164" fontId="10" fillId="19" borderId="34" xfId="4" applyNumberFormat="1" applyFont="1" applyFill="1" applyBorder="1" applyAlignment="1">
      <alignment horizontal="center"/>
    </xf>
    <xf numFmtId="0" fontId="67" fillId="9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91" fontId="17" fillId="15" borderId="29" xfId="0" applyNumberFormat="1" applyFont="1" applyFill="1" applyBorder="1" applyAlignment="1">
      <alignment vertical="center"/>
    </xf>
    <xf numFmtId="191" fontId="17" fillId="0" borderId="72" xfId="0" applyNumberFormat="1" applyFont="1" applyBorder="1" applyAlignment="1">
      <alignment vertical="center"/>
    </xf>
    <xf numFmtId="191" fontId="17" fillId="0" borderId="106" xfId="0" applyNumberFormat="1" applyFont="1" applyBorder="1" applyAlignment="1">
      <alignment vertical="center"/>
    </xf>
    <xf numFmtId="191" fontId="17" fillId="0" borderId="34" xfId="0" applyNumberFormat="1" applyFont="1" applyBorder="1" applyAlignment="1">
      <alignment vertical="center"/>
    </xf>
    <xf numFmtId="191" fontId="17" fillId="15" borderId="34" xfId="0" applyNumberFormat="1" applyFont="1" applyFill="1" applyBorder="1" applyAlignment="1">
      <alignment vertical="center"/>
    </xf>
    <xf numFmtId="174" fontId="19" fillId="0" borderId="0" xfId="15" applyNumberFormat="1" applyFont="1"/>
    <xf numFmtId="174" fontId="24" fillId="0" borderId="0" xfId="15" applyNumberFormat="1" applyFont="1"/>
    <xf numFmtId="174" fontId="92" fillId="0" borderId="0" xfId="15" applyNumberFormat="1" applyFont="1"/>
    <xf numFmtId="174" fontId="92" fillId="0" borderId="0" xfId="15" applyNumberFormat="1" applyFont="1" applyAlignment="1">
      <alignment vertical="center"/>
    </xf>
    <xf numFmtId="174" fontId="13" fillId="0" borderId="0" xfId="15" applyNumberFormat="1" applyFont="1"/>
    <xf numFmtId="0" fontId="37" fillId="0" borderId="0" xfId="16" applyFont="1"/>
    <xf numFmtId="0" fontId="17" fillId="0" borderId="0" xfId="2" applyFont="1" applyFill="1"/>
    <xf numFmtId="174" fontId="39" fillId="15" borderId="27" xfId="0" applyNumberFormat="1" applyFont="1" applyFill="1" applyBorder="1" applyAlignment="1">
      <alignment vertical="center"/>
    </xf>
    <xf numFmtId="1" fontId="45" fillId="0" borderId="29" xfId="16" applyNumberFormat="1" applyFont="1" applyBorder="1" applyAlignment="1">
      <alignment vertical="center" wrapText="1"/>
    </xf>
    <xf numFmtId="1" fontId="13" fillId="0" borderId="5" xfId="15" applyNumberFormat="1" applyFont="1" applyBorder="1" applyAlignment="1">
      <alignment horizontal="center" vertical="center"/>
    </xf>
    <xf numFmtId="187" fontId="17" fillId="15" borderId="17" xfId="2" applyNumberFormat="1" applyFont="1" applyFill="1" applyBorder="1" applyAlignment="1">
      <alignment vertical="center"/>
    </xf>
    <xf numFmtId="187" fontId="17" fillId="15" borderId="72" xfId="2" applyNumberFormat="1" applyFont="1" applyFill="1" applyBorder="1" applyAlignment="1">
      <alignment vertical="center"/>
    </xf>
    <xf numFmtId="0" fontId="17" fillId="16" borderId="7" xfId="2" applyFont="1" applyFill="1" applyBorder="1" applyAlignment="1">
      <alignment vertical="center"/>
    </xf>
    <xf numFmtId="0" fontId="17" fillId="16" borderId="8" xfId="2" applyFont="1" applyFill="1" applyBorder="1" applyAlignment="1">
      <alignment vertical="center"/>
    </xf>
    <xf numFmtId="1" fontId="18" fillId="0" borderId="7" xfId="4" applyNumberFormat="1" applyFont="1" applyBorder="1" applyAlignment="1">
      <alignment horizontal="left" vertical="center" wrapText="1"/>
    </xf>
    <xf numFmtId="178" fontId="18" fillId="0" borderId="71" xfId="4" applyNumberFormat="1" applyFont="1" applyBorder="1" applyAlignment="1">
      <alignment vertical="center"/>
    </xf>
    <xf numFmtId="178" fontId="18" fillId="0" borderId="17" xfId="4" applyNumberFormat="1" applyFont="1" applyBorder="1" applyAlignment="1">
      <alignment vertical="center"/>
    </xf>
    <xf numFmtId="165" fontId="18" fillId="15" borderId="72" xfId="4" applyNumberFormat="1" applyFont="1" applyFill="1" applyBorder="1" applyAlignment="1">
      <alignment vertical="center"/>
    </xf>
    <xf numFmtId="0" fontId="2" fillId="0" borderId="0" xfId="24" applyFont="1"/>
    <xf numFmtId="1" fontId="18" fillId="0" borderId="7" xfId="0" applyNumberFormat="1" applyFont="1" applyBorder="1" applyAlignment="1">
      <alignment vertical="center" wrapText="1"/>
    </xf>
    <xf numFmtId="0" fontId="67" fillId="9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72" fillId="0" borderId="47" xfId="3" quotePrefix="1" applyFont="1" applyFill="1" applyBorder="1" applyAlignment="1">
      <alignment horizontal="center"/>
    </xf>
    <xf numFmtId="0" fontId="73" fillId="14" borderId="24" xfId="3" quotePrefix="1" applyFont="1" applyFill="1" applyBorder="1" applyAlignment="1">
      <alignment horizontal="center"/>
    </xf>
    <xf numFmtId="0" fontId="73" fillId="22" borderId="24" xfId="3" quotePrefix="1" applyFont="1" applyFill="1" applyBorder="1" applyAlignment="1">
      <alignment horizontal="center"/>
    </xf>
    <xf numFmtId="0" fontId="73" fillId="22" borderId="24" xfId="3" applyFont="1" applyFill="1" applyBorder="1" applyAlignment="1">
      <alignment horizontal="center"/>
    </xf>
    <xf numFmtId="0" fontId="73" fillId="22" borderId="46" xfId="3" applyFont="1" applyFill="1" applyBorder="1" applyAlignment="1">
      <alignment horizontal="center"/>
    </xf>
    <xf numFmtId="0" fontId="73" fillId="14" borderId="47" xfId="3" quotePrefix="1" applyFont="1" applyFill="1" applyBorder="1" applyAlignment="1">
      <alignment horizontal="center"/>
    </xf>
    <xf numFmtId="0" fontId="17" fillId="18" borderId="24" xfId="0" applyFont="1" applyFill="1" applyBorder="1" applyAlignment="1">
      <alignment vertical="center"/>
    </xf>
    <xf numFmtId="190" fontId="17" fillId="18" borderId="24" xfId="0" applyNumberFormat="1" applyFont="1" applyFill="1" applyBorder="1" applyAlignment="1">
      <alignment vertical="center"/>
    </xf>
    <xf numFmtId="0" fontId="17" fillId="22" borderId="24" xfId="0" applyFont="1" applyFill="1" applyBorder="1" applyAlignment="1">
      <alignment vertical="center"/>
    </xf>
    <xf numFmtId="190" fontId="17" fillId="22" borderId="24" xfId="0" applyNumberFormat="1" applyFont="1" applyFill="1" applyBorder="1" applyAlignment="1">
      <alignment vertical="center"/>
    </xf>
    <xf numFmtId="190" fontId="17" fillId="22" borderId="35" xfId="0" applyNumberFormat="1" applyFont="1" applyFill="1" applyBorder="1" applyAlignment="1">
      <alignment vertical="center"/>
    </xf>
    <xf numFmtId="190" fontId="17" fillId="22" borderId="33" xfId="0" applyNumberFormat="1" applyFont="1" applyFill="1" applyBorder="1" applyAlignment="1">
      <alignment vertical="center"/>
    </xf>
    <xf numFmtId="0" fontId="17" fillId="22" borderId="24" xfId="0" applyFont="1" applyFill="1" applyBorder="1"/>
    <xf numFmtId="0" fontId="17" fillId="4" borderId="35" xfId="0" applyFont="1" applyFill="1" applyBorder="1" applyAlignment="1">
      <alignment vertical="center"/>
    </xf>
    <xf numFmtId="0" fontId="11" fillId="11" borderId="69" xfId="0" applyFont="1" applyFill="1" applyBorder="1" applyAlignment="1">
      <alignment vertical="center"/>
    </xf>
    <xf numFmtId="0" fontId="17" fillId="22" borderId="35" xfId="0" applyFont="1" applyFill="1" applyBorder="1" applyAlignment="1">
      <alignment vertical="center"/>
    </xf>
    <xf numFmtId="191" fontId="17" fillId="0" borderId="102" xfId="0" applyNumberFormat="1" applyFont="1" applyBorder="1" applyAlignment="1">
      <alignment vertical="center"/>
    </xf>
    <xf numFmtId="191" fontId="17" fillId="0" borderId="71" xfId="0" applyNumberFormat="1" applyFont="1" applyBorder="1" applyAlignment="1">
      <alignment vertical="center"/>
    </xf>
    <xf numFmtId="191" fontId="17" fillId="0" borderId="112" xfId="0" applyNumberFormat="1" applyFont="1" applyBorder="1" applyAlignment="1">
      <alignment vertical="center"/>
    </xf>
    <xf numFmtId="0" fontId="10" fillId="0" borderId="0" xfId="0" applyFont="1" applyBorder="1"/>
    <xf numFmtId="0" fontId="10" fillId="0" borderId="0" xfId="0" applyFont="1" applyBorder="1" applyAlignment="1">
      <alignment textRotation="90"/>
    </xf>
    <xf numFmtId="0" fontId="0" fillId="0" borderId="0" xfId="0" applyBorder="1"/>
    <xf numFmtId="0" fontId="10" fillId="0" borderId="0" xfId="0" applyFont="1" applyFill="1" applyBorder="1"/>
    <xf numFmtId="0" fontId="16" fillId="0" borderId="0" xfId="4" applyFont="1" applyAlignment="1">
      <alignment horizontal="center"/>
    </xf>
    <xf numFmtId="0" fontId="10" fillId="0" borderId="0" xfId="4" applyFont="1" applyBorder="1"/>
    <xf numFmtId="182" fontId="10" fillId="15" borderId="27" xfId="4" applyNumberFormat="1" applyFont="1" applyFill="1" applyBorder="1"/>
    <xf numFmtId="182" fontId="10" fillId="19" borderId="27" xfId="4" applyNumberFormat="1" applyFont="1" applyFill="1" applyBorder="1"/>
    <xf numFmtId="0" fontId="11" fillId="19" borderId="13" xfId="4" quotePrefix="1" applyFont="1" applyFill="1" applyBorder="1" applyAlignment="1">
      <alignment horizontal="center" vertical="center"/>
    </xf>
    <xf numFmtId="182" fontId="10" fillId="19" borderId="57" xfId="4" applyNumberFormat="1" applyFont="1" applyFill="1" applyBorder="1"/>
    <xf numFmtId="1" fontId="11" fillId="0" borderId="21" xfId="4" applyNumberFormat="1" applyFont="1" applyBorder="1" applyAlignment="1">
      <alignment horizontal="centerContinuous" vertical="center" wrapText="1"/>
    </xf>
    <xf numFmtId="0" fontId="10" fillId="0" borderId="0" xfId="4" applyFont="1" applyAlignment="1">
      <alignment horizontal="center" vertical="center"/>
    </xf>
    <xf numFmtId="0" fontId="10" fillId="0" borderId="0" xfId="4" applyFont="1" applyAlignment="1"/>
    <xf numFmtId="0" fontId="10" fillId="0" borderId="0" xfId="4" applyFont="1" applyFill="1"/>
    <xf numFmtId="0" fontId="98" fillId="0" borderId="0" xfId="4" applyFont="1" applyFill="1" applyAlignment="1">
      <alignment vertical="center"/>
    </xf>
    <xf numFmtId="0" fontId="16" fillId="0" borderId="0" xfId="4" applyFont="1" applyFill="1"/>
    <xf numFmtId="0" fontId="16" fillId="0" borderId="0" xfId="4" applyFont="1" applyAlignment="1">
      <alignment horizontal="left"/>
    </xf>
    <xf numFmtId="166" fontId="16" fillId="0" borderId="0" xfId="4" applyNumberFormat="1" applyFont="1" applyAlignment="1">
      <alignment horizontal="center"/>
    </xf>
    <xf numFmtId="0" fontId="16" fillId="0" borderId="0" xfId="4" applyFont="1" applyFill="1" applyBorder="1" applyAlignment="1">
      <alignment vertical="center"/>
    </xf>
    <xf numFmtId="0" fontId="16" fillId="0" borderId="0" xfId="4" applyFont="1" applyAlignment="1"/>
    <xf numFmtId="1" fontId="11" fillId="0" borderId="20" xfId="4" applyNumberFormat="1" applyFont="1" applyBorder="1" applyAlignment="1">
      <alignment horizontal="left" vertical="center"/>
    </xf>
    <xf numFmtId="1" fontId="11" fillId="0" borderId="21" xfId="4" applyNumberFormat="1" applyFont="1" applyBorder="1" applyAlignment="1">
      <alignment horizontal="center" vertical="center" wrapText="1"/>
    </xf>
    <xf numFmtId="0" fontId="11" fillId="0" borderId="0" xfId="4" applyFont="1" applyFill="1"/>
    <xf numFmtId="1" fontId="11" fillId="0" borderId="30" xfId="4" applyNumberFormat="1" applyFont="1" applyBorder="1" applyAlignment="1">
      <alignment horizontal="left" vertical="center"/>
    </xf>
    <xf numFmtId="0" fontId="11" fillId="19" borderId="28" xfId="4" applyFont="1" applyFill="1" applyBorder="1" applyAlignment="1">
      <alignment horizontal="center" vertical="center"/>
    </xf>
    <xf numFmtId="0" fontId="11" fillId="0" borderId="28" xfId="23" applyFont="1" applyBorder="1" applyAlignment="1">
      <alignment horizontal="center" vertical="center"/>
    </xf>
    <xf numFmtId="0" fontId="11" fillId="19" borderId="28" xfId="23" applyFont="1" applyFill="1" applyBorder="1" applyAlignment="1">
      <alignment horizontal="center" vertical="center"/>
    </xf>
    <xf numFmtId="164" fontId="11" fillId="19" borderId="33" xfId="4" applyNumberFormat="1" applyFont="1" applyFill="1" applyBorder="1" applyAlignment="1">
      <alignment horizontal="center" vertical="center"/>
    </xf>
    <xf numFmtId="1" fontId="11" fillId="0" borderId="6" xfId="4" applyNumberFormat="1" applyFont="1" applyBorder="1" applyAlignment="1">
      <alignment horizontal="left" vertical="center"/>
    </xf>
    <xf numFmtId="0" fontId="11" fillId="0" borderId="24" xfId="23" applyFont="1" applyBorder="1" applyAlignment="1">
      <alignment horizontal="center" vertical="center"/>
    </xf>
    <xf numFmtId="0" fontId="11" fillId="19" borderId="24" xfId="23" applyFont="1" applyFill="1" applyBorder="1" applyAlignment="1">
      <alignment horizontal="center" vertical="center"/>
    </xf>
    <xf numFmtId="164" fontId="11" fillId="19" borderId="35" xfId="4" applyNumberFormat="1" applyFont="1" applyFill="1" applyBorder="1" applyAlignment="1">
      <alignment horizontal="center" vertical="center"/>
    </xf>
    <xf numFmtId="1" fontId="11" fillId="0" borderId="7" xfId="4" applyNumberFormat="1" applyFont="1" applyBorder="1" applyAlignment="1">
      <alignment horizontal="left" vertical="center"/>
    </xf>
    <xf numFmtId="164" fontId="11" fillId="0" borderId="44" xfId="4" applyNumberFormat="1" applyFont="1" applyBorder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0" fontId="11" fillId="19" borderId="44" xfId="4" applyFont="1" applyFill="1" applyBorder="1" applyAlignment="1">
      <alignment horizontal="center" vertical="center"/>
    </xf>
    <xf numFmtId="0" fontId="11" fillId="0" borderId="44" xfId="23" applyFont="1" applyBorder="1" applyAlignment="1">
      <alignment horizontal="center" vertical="center"/>
    </xf>
    <xf numFmtId="0" fontId="11" fillId="19" borderId="44" xfId="23" applyFont="1" applyFill="1" applyBorder="1" applyAlignment="1">
      <alignment horizontal="center" vertical="center"/>
    </xf>
    <xf numFmtId="164" fontId="11" fillId="19" borderId="93" xfId="4" applyNumberFormat="1" applyFont="1" applyFill="1" applyBorder="1" applyAlignment="1">
      <alignment horizontal="center" vertical="center"/>
    </xf>
    <xf numFmtId="1" fontId="11" fillId="14" borderId="51" xfId="4" applyNumberFormat="1" applyFont="1" applyFill="1" applyBorder="1" applyAlignment="1">
      <alignment horizontal="left" vertical="center"/>
    </xf>
    <xf numFmtId="164" fontId="11" fillId="14" borderId="3" xfId="4" applyNumberFormat="1" applyFont="1" applyFill="1" applyBorder="1" applyAlignment="1">
      <alignment horizontal="center" vertical="center"/>
    </xf>
    <xf numFmtId="164" fontId="11" fillId="14" borderId="13" xfId="4" applyNumberFormat="1" applyFont="1" applyFill="1" applyBorder="1" applyAlignment="1">
      <alignment horizontal="center" vertical="center"/>
    </xf>
    <xf numFmtId="0" fontId="11" fillId="0" borderId="0" xfId="4" applyFont="1" applyFill="1" applyAlignment="1">
      <alignment vertical="center"/>
    </xf>
    <xf numFmtId="164" fontId="11" fillId="0" borderId="29" xfId="4" applyNumberFormat="1" applyFont="1" applyBorder="1" applyAlignment="1">
      <alignment horizontal="center" vertical="center"/>
    </xf>
    <xf numFmtId="0" fontId="11" fillId="0" borderId="29" xfId="4" applyFont="1" applyBorder="1" applyAlignment="1">
      <alignment horizontal="center" vertical="center"/>
    </xf>
    <xf numFmtId="0" fontId="11" fillId="19" borderId="29" xfId="4" applyFont="1" applyFill="1" applyBorder="1" applyAlignment="1">
      <alignment horizontal="center" vertical="center"/>
    </xf>
    <xf numFmtId="0" fontId="11" fillId="0" borderId="29" xfId="23" applyFont="1" applyBorder="1" applyAlignment="1">
      <alignment horizontal="center" vertical="center"/>
    </xf>
    <xf numFmtId="0" fontId="11" fillId="19" borderId="29" xfId="23" applyFont="1" applyFill="1" applyBorder="1" applyAlignment="1">
      <alignment horizontal="center" vertical="center"/>
    </xf>
    <xf numFmtId="0" fontId="11" fillId="0" borderId="29" xfId="2" applyFont="1" applyBorder="1" applyAlignment="1">
      <alignment horizontal="center" vertical="center"/>
    </xf>
    <xf numFmtId="0" fontId="11" fillId="19" borderId="29" xfId="2" applyFont="1" applyFill="1" applyBorder="1" applyAlignment="1">
      <alignment horizontal="center" vertical="center"/>
    </xf>
    <xf numFmtId="164" fontId="11" fillId="19" borderId="34" xfId="4" applyNumberFormat="1" applyFont="1" applyFill="1" applyBorder="1" applyAlignment="1">
      <alignment horizontal="center" vertical="center"/>
    </xf>
    <xf numFmtId="0" fontId="11" fillId="14" borderId="3" xfId="4" applyFont="1" applyFill="1" applyBorder="1" applyAlignment="1">
      <alignment horizontal="center" vertical="center"/>
    </xf>
    <xf numFmtId="0" fontId="11" fillId="14" borderId="3" xfId="23" applyFont="1" applyFill="1" applyBorder="1" applyAlignment="1">
      <alignment horizontal="center" vertical="center"/>
    </xf>
    <xf numFmtId="0" fontId="11" fillId="14" borderId="3" xfId="2" applyFont="1" applyFill="1" applyBorder="1" applyAlignment="1">
      <alignment horizontal="center" vertical="center"/>
    </xf>
    <xf numFmtId="1" fontId="11" fillId="0" borderId="6" xfId="4" applyNumberFormat="1" applyFont="1" applyBorder="1" applyAlignment="1">
      <alignment horizontal="left" vertical="center" wrapText="1"/>
    </xf>
    <xf numFmtId="1" fontId="11" fillId="16" borderId="6" xfId="4" applyNumberFormat="1" applyFont="1" applyFill="1" applyBorder="1" applyAlignment="1">
      <alignment horizontal="left" vertical="center"/>
    </xf>
    <xf numFmtId="0" fontId="11" fillId="0" borderId="103" xfId="4" applyFont="1" applyBorder="1" applyAlignment="1">
      <alignment horizontal="left"/>
    </xf>
    <xf numFmtId="0" fontId="11" fillId="0" borderId="18" xfId="23" applyFont="1" applyBorder="1" applyAlignment="1">
      <alignment horizontal="center" vertical="center"/>
    </xf>
    <xf numFmtId="0" fontId="11" fillId="19" borderId="18" xfId="23" applyFont="1" applyFill="1" applyBorder="1" applyAlignment="1">
      <alignment horizontal="center" vertical="center"/>
    </xf>
    <xf numFmtId="164" fontId="11" fillId="19" borderId="69" xfId="4" applyNumberFormat="1" applyFont="1" applyFill="1" applyBorder="1" applyAlignment="1">
      <alignment horizontal="center" vertical="center"/>
    </xf>
    <xf numFmtId="1" fontId="11" fillId="14" borderId="31" xfId="4" applyNumberFormat="1" applyFont="1" applyFill="1" applyBorder="1" applyAlignment="1">
      <alignment horizontal="left" vertical="center"/>
    </xf>
    <xf numFmtId="164" fontId="11" fillId="14" borderId="15" xfId="4" applyNumberFormat="1" applyFont="1" applyFill="1" applyBorder="1" applyAlignment="1">
      <alignment horizontal="center" vertical="center"/>
    </xf>
    <xf numFmtId="0" fontId="11" fillId="14" borderId="15" xfId="4" applyFont="1" applyFill="1" applyBorder="1" applyAlignment="1">
      <alignment horizontal="center" vertical="center"/>
    </xf>
    <xf numFmtId="0" fontId="11" fillId="14" borderId="15" xfId="23" applyFont="1" applyFill="1" applyBorder="1" applyAlignment="1">
      <alignment horizontal="center" vertical="center"/>
    </xf>
    <xf numFmtId="0" fontId="11" fillId="14" borderId="15" xfId="2" applyFont="1" applyFill="1" applyBorder="1" applyAlignment="1">
      <alignment horizontal="center" vertical="center"/>
    </xf>
    <xf numFmtId="164" fontId="11" fillId="14" borderId="14" xfId="4" applyNumberFormat="1" applyFont="1" applyFill="1" applyBorder="1" applyAlignment="1">
      <alignment horizontal="center" vertical="center"/>
    </xf>
    <xf numFmtId="1" fontId="11" fillId="0" borderId="115" xfId="4" applyNumberFormat="1" applyFont="1" applyBorder="1" applyAlignment="1">
      <alignment horizontal="left" vertical="center"/>
    </xf>
    <xf numFmtId="164" fontId="11" fillId="0" borderId="113" xfId="4" applyNumberFormat="1" applyFont="1" applyBorder="1" applyAlignment="1">
      <alignment horizontal="center" vertical="center"/>
    </xf>
    <xf numFmtId="0" fontId="11" fillId="0" borderId="113" xfId="4" applyFont="1" applyBorder="1" applyAlignment="1">
      <alignment horizontal="center" vertical="center"/>
    </xf>
    <xf numFmtId="0" fontId="11" fillId="19" borderId="113" xfId="4" applyFont="1" applyFill="1" applyBorder="1" applyAlignment="1">
      <alignment horizontal="center" vertical="center"/>
    </xf>
    <xf numFmtId="0" fontId="11" fillId="0" borderId="113" xfId="23" applyFont="1" applyBorder="1" applyAlignment="1">
      <alignment horizontal="center" vertical="center"/>
    </xf>
    <xf numFmtId="0" fontId="11" fillId="19" borderId="113" xfId="23" applyFont="1" applyFill="1" applyBorder="1" applyAlignment="1">
      <alignment horizontal="center" vertical="center"/>
    </xf>
    <xf numFmtId="0" fontId="11" fillId="0" borderId="113" xfId="2" applyFont="1" applyBorder="1" applyAlignment="1">
      <alignment horizontal="center" vertical="center"/>
    </xf>
    <xf numFmtId="0" fontId="11" fillId="19" borderId="113" xfId="2" applyFont="1" applyFill="1" applyBorder="1" applyAlignment="1">
      <alignment horizontal="center" vertical="center"/>
    </xf>
    <xf numFmtId="164" fontId="11" fillId="19" borderId="114" xfId="4" applyNumberFormat="1" applyFont="1" applyFill="1" applyBorder="1" applyAlignment="1">
      <alignment horizontal="center" vertical="center"/>
    </xf>
    <xf numFmtId="1" fontId="11" fillId="14" borderId="12" xfId="4" applyNumberFormat="1" applyFont="1" applyFill="1" applyBorder="1" applyAlignment="1">
      <alignment horizontal="left" vertical="center"/>
    </xf>
    <xf numFmtId="164" fontId="11" fillId="14" borderId="27" xfId="4" applyNumberFormat="1" applyFont="1" applyFill="1" applyBorder="1" applyAlignment="1">
      <alignment horizontal="center" vertical="center"/>
    </xf>
    <xf numFmtId="0" fontId="11" fillId="14" borderId="27" xfId="4" applyFont="1" applyFill="1" applyBorder="1" applyAlignment="1">
      <alignment horizontal="center" vertical="center"/>
    </xf>
    <xf numFmtId="0" fontId="11" fillId="14" borderId="27" xfId="23" applyFont="1" applyFill="1" applyBorder="1" applyAlignment="1">
      <alignment horizontal="center" vertical="center"/>
    </xf>
    <xf numFmtId="0" fontId="11" fillId="14" borderId="27" xfId="2" applyFont="1" applyFill="1" applyBorder="1" applyAlignment="1">
      <alignment horizontal="center" vertical="center"/>
    </xf>
    <xf numFmtId="164" fontId="11" fillId="14" borderId="57" xfId="4" applyNumberFormat="1" applyFont="1" applyFill="1" applyBorder="1" applyAlignment="1">
      <alignment horizontal="center" vertical="center"/>
    </xf>
    <xf numFmtId="0" fontId="11" fillId="0" borderId="0" xfId="4" applyFont="1" applyFill="1" applyBorder="1"/>
    <xf numFmtId="1" fontId="11" fillId="0" borderId="0" xfId="4" applyNumberFormat="1" applyFont="1" applyFill="1" applyBorder="1" applyAlignment="1">
      <alignment horizontal="left" vertical="center"/>
    </xf>
    <xf numFmtId="164" fontId="11" fillId="0" borderId="0" xfId="4" applyNumberFormat="1" applyFont="1" applyFill="1" applyBorder="1" applyAlignment="1">
      <alignment horizontal="center" vertical="center"/>
    </xf>
    <xf numFmtId="0" fontId="11" fillId="0" borderId="0" xfId="4" applyFont="1" applyFill="1" applyBorder="1" applyAlignment="1">
      <alignment horizontal="center" vertical="center"/>
    </xf>
    <xf numFmtId="0" fontId="11" fillId="0" borderId="0" xfId="23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center" vertical="center"/>
    </xf>
    <xf numFmtId="0" fontId="11" fillId="23" borderId="84" xfId="4" applyFont="1" applyFill="1" applyBorder="1"/>
    <xf numFmtId="164" fontId="11" fillId="23" borderId="49" xfId="4" applyNumberFormat="1" applyFont="1" applyFill="1" applyBorder="1" applyAlignment="1">
      <alignment horizontal="center" vertical="center"/>
    </xf>
    <xf numFmtId="0" fontId="11" fillId="23" borderId="49" xfId="4" applyFont="1" applyFill="1" applyBorder="1" applyAlignment="1">
      <alignment horizontal="center" vertical="center"/>
    </xf>
    <xf numFmtId="0" fontId="11" fillId="23" borderId="49" xfId="23" applyFont="1" applyFill="1" applyBorder="1" applyAlignment="1">
      <alignment horizontal="center" vertical="center"/>
    </xf>
    <xf numFmtId="0" fontId="11" fillId="23" borderId="49" xfId="2" applyFont="1" applyFill="1" applyBorder="1" applyAlignment="1">
      <alignment horizontal="center" vertical="center"/>
    </xf>
    <xf numFmtId="164" fontId="11" fillId="23" borderId="50" xfId="4" applyNumberFormat="1" applyFont="1" applyFill="1" applyBorder="1" applyAlignment="1">
      <alignment horizontal="center" vertical="center"/>
    </xf>
    <xf numFmtId="166" fontId="11" fillId="0" borderId="0" xfId="4" applyNumberFormat="1" applyFont="1"/>
    <xf numFmtId="0" fontId="11" fillId="0" borderId="0" xfId="4" applyFont="1" applyAlignment="1">
      <alignment horizontal="center"/>
    </xf>
    <xf numFmtId="0" fontId="11" fillId="0" borderId="0" xfId="4" applyFont="1" applyAlignment="1"/>
    <xf numFmtId="0" fontId="11" fillId="0" borderId="26" xfId="4" applyFont="1" applyBorder="1" applyAlignment="1">
      <alignment horizontal="center" vertical="center"/>
    </xf>
    <xf numFmtId="0" fontId="11" fillId="19" borderId="26" xfId="4" quotePrefix="1" applyFont="1" applyFill="1" applyBorder="1" applyAlignment="1">
      <alignment horizontal="center" vertical="center"/>
    </xf>
    <xf numFmtId="0" fontId="11" fillId="19" borderId="73" xfId="4" quotePrefix="1" applyFont="1" applyFill="1" applyBorder="1" applyAlignment="1">
      <alignment horizontal="center" vertical="center"/>
    </xf>
    <xf numFmtId="0" fontId="10" fillId="0" borderId="28" xfId="23" applyFont="1" applyBorder="1" applyAlignment="1">
      <alignment horizontal="center" vertical="center"/>
    </xf>
    <xf numFmtId="0" fontId="10" fillId="19" borderId="28" xfId="23" applyFont="1" applyFill="1" applyBorder="1" applyAlignment="1">
      <alignment horizontal="center" vertical="center"/>
    </xf>
    <xf numFmtId="0" fontId="10" fillId="0" borderId="24" xfId="23" applyFont="1" applyBorder="1" applyAlignment="1">
      <alignment horizontal="center" vertical="center"/>
    </xf>
    <xf numFmtId="0" fontId="10" fillId="19" borderId="24" xfId="23" applyFont="1" applyFill="1" applyBorder="1" applyAlignment="1">
      <alignment horizontal="center" vertical="center"/>
    </xf>
    <xf numFmtId="164" fontId="10" fillId="0" borderId="44" xfId="4" applyNumberFormat="1" applyFont="1" applyBorder="1" applyAlignment="1">
      <alignment horizontal="center" vertical="center"/>
    </xf>
    <xf numFmtId="0" fontId="10" fillId="0" borderId="44" xfId="4" applyFont="1" applyBorder="1" applyAlignment="1">
      <alignment horizontal="center" vertical="center"/>
    </xf>
    <xf numFmtId="0" fontId="10" fillId="19" borderId="44" xfId="4" applyFont="1" applyFill="1" applyBorder="1" applyAlignment="1">
      <alignment horizontal="center" vertical="center"/>
    </xf>
    <xf numFmtId="0" fontId="10" fillId="0" borderId="44" xfId="23" applyFont="1" applyBorder="1" applyAlignment="1">
      <alignment horizontal="center" vertical="center"/>
    </xf>
    <xf numFmtId="0" fontId="10" fillId="19" borderId="44" xfId="23" applyFont="1" applyFill="1" applyBorder="1" applyAlignment="1">
      <alignment horizontal="center" vertical="center"/>
    </xf>
    <xf numFmtId="164" fontId="10" fillId="19" borderId="93" xfId="4" applyNumberFormat="1" applyFont="1" applyFill="1" applyBorder="1" applyAlignment="1">
      <alignment horizontal="center" vertical="center"/>
    </xf>
    <xf numFmtId="164" fontId="10" fillId="14" borderId="3" xfId="4" applyNumberFormat="1" applyFont="1" applyFill="1" applyBorder="1" applyAlignment="1">
      <alignment horizontal="center" vertical="center"/>
    </xf>
    <xf numFmtId="164" fontId="10" fillId="14" borderId="13" xfId="4" applyNumberFormat="1" applyFont="1" applyFill="1" applyBorder="1" applyAlignment="1">
      <alignment horizontal="center" vertical="center"/>
    </xf>
    <xf numFmtId="164" fontId="10" fillId="0" borderId="29" xfId="4" applyNumberFormat="1" applyFont="1" applyBorder="1" applyAlignment="1">
      <alignment horizontal="center" vertical="center"/>
    </xf>
    <xf numFmtId="0" fontId="10" fillId="0" borderId="29" xfId="4" applyFont="1" applyBorder="1" applyAlignment="1">
      <alignment horizontal="center" vertical="center"/>
    </xf>
    <xf numFmtId="0" fontId="10" fillId="19" borderId="29" xfId="4" applyFont="1" applyFill="1" applyBorder="1" applyAlignment="1">
      <alignment horizontal="center" vertical="center"/>
    </xf>
    <xf numFmtId="0" fontId="10" fillId="0" borderId="29" xfId="23" applyFont="1" applyBorder="1" applyAlignment="1">
      <alignment horizontal="center" vertical="center"/>
    </xf>
    <xf numFmtId="0" fontId="10" fillId="19" borderId="29" xfId="23" applyFont="1" applyFill="1" applyBorder="1" applyAlignment="1">
      <alignment horizontal="center" vertical="center"/>
    </xf>
    <xf numFmtId="0" fontId="10" fillId="0" borderId="29" xfId="2" applyFont="1" applyBorder="1" applyAlignment="1">
      <alignment horizontal="center" vertical="center"/>
    </xf>
    <xf numFmtId="0" fontId="10" fillId="19" borderId="29" xfId="2" applyFont="1" applyFill="1" applyBorder="1" applyAlignment="1">
      <alignment horizontal="center" vertical="center"/>
    </xf>
    <xf numFmtId="164" fontId="10" fillId="19" borderId="34" xfId="4" applyNumberFormat="1" applyFont="1" applyFill="1" applyBorder="1" applyAlignment="1">
      <alignment horizontal="center" vertical="center"/>
    </xf>
    <xf numFmtId="0" fontId="10" fillId="0" borderId="24" xfId="2" applyFont="1" applyBorder="1" applyAlignment="1">
      <alignment horizontal="center" vertical="center"/>
    </xf>
    <xf numFmtId="0" fontId="10" fillId="19" borderId="24" xfId="2" applyFont="1" applyFill="1" applyBorder="1" applyAlignment="1">
      <alignment horizontal="center" vertical="center"/>
    </xf>
    <xf numFmtId="0" fontId="10" fillId="14" borderId="3" xfId="4" applyFont="1" applyFill="1" applyBorder="1" applyAlignment="1">
      <alignment horizontal="center" vertical="center"/>
    </xf>
    <xf numFmtId="0" fontId="10" fillId="14" borderId="3" xfId="23" applyFont="1" applyFill="1" applyBorder="1" applyAlignment="1">
      <alignment horizontal="center" vertical="center"/>
    </xf>
    <xf numFmtId="0" fontId="10" fillId="14" borderId="3" xfId="2" applyFont="1" applyFill="1" applyBorder="1" applyAlignment="1">
      <alignment horizontal="center" vertical="center"/>
    </xf>
    <xf numFmtId="1" fontId="11" fillId="0" borderId="7" xfId="4" applyNumberFormat="1" applyFont="1" applyBorder="1" applyAlignment="1">
      <alignment horizontal="left" vertical="center" wrapText="1"/>
    </xf>
    <xf numFmtId="164" fontId="10" fillId="0" borderId="17" xfId="4" applyNumberFormat="1" applyFont="1" applyBorder="1" applyAlignment="1">
      <alignment horizontal="center" vertical="center"/>
    </xf>
    <xf numFmtId="0" fontId="10" fillId="0" borderId="17" xfId="4" applyFont="1" applyBorder="1" applyAlignment="1">
      <alignment horizontal="center" vertical="center"/>
    </xf>
    <xf numFmtId="0" fontId="10" fillId="19" borderId="17" xfId="4" applyFont="1" applyFill="1" applyBorder="1" applyAlignment="1">
      <alignment horizontal="center" vertical="center"/>
    </xf>
    <xf numFmtId="0" fontId="10" fillId="0" borderId="17" xfId="23" applyFont="1" applyBorder="1" applyAlignment="1">
      <alignment horizontal="center" vertical="center"/>
    </xf>
    <xf numFmtId="0" fontId="10" fillId="19" borderId="17" xfId="23" applyFont="1" applyFill="1" applyBorder="1" applyAlignment="1">
      <alignment horizontal="center" vertical="center"/>
    </xf>
    <xf numFmtId="0" fontId="10" fillId="0" borderId="17" xfId="2" applyFont="1" applyBorder="1" applyAlignment="1">
      <alignment horizontal="center" vertical="center"/>
    </xf>
    <xf numFmtId="0" fontId="10" fillId="19" borderId="17" xfId="2" applyFont="1" applyFill="1" applyBorder="1" applyAlignment="1">
      <alignment horizontal="center" vertical="center"/>
    </xf>
    <xf numFmtId="164" fontId="10" fillId="19" borderId="72" xfId="4" applyNumberFormat="1" applyFont="1" applyFill="1" applyBorder="1" applyAlignment="1">
      <alignment horizontal="center" vertical="center"/>
    </xf>
    <xf numFmtId="0" fontId="11" fillId="0" borderId="7" xfId="4" applyFont="1" applyBorder="1" applyAlignment="1">
      <alignment horizontal="left"/>
    </xf>
    <xf numFmtId="0" fontId="10" fillId="0" borderId="18" xfId="4" applyFont="1" applyBorder="1" applyAlignment="1">
      <alignment horizontal="center" vertical="center"/>
    </xf>
    <xf numFmtId="0" fontId="10" fillId="19" borderId="18" xfId="4" applyFont="1" applyFill="1" applyBorder="1" applyAlignment="1">
      <alignment horizontal="center" vertical="center"/>
    </xf>
    <xf numFmtId="0" fontId="10" fillId="0" borderId="18" xfId="23" applyFont="1" applyBorder="1" applyAlignment="1">
      <alignment horizontal="center" vertical="center"/>
    </xf>
    <xf numFmtId="0" fontId="10" fillId="19" borderId="18" xfId="23" applyFont="1" applyFill="1" applyBorder="1" applyAlignment="1">
      <alignment horizontal="center" vertical="center"/>
    </xf>
    <xf numFmtId="0" fontId="10" fillId="0" borderId="18" xfId="2" applyFont="1" applyBorder="1" applyAlignment="1">
      <alignment horizontal="center" vertical="center"/>
    </xf>
    <xf numFmtId="0" fontId="10" fillId="19" borderId="18" xfId="2" applyFont="1" applyFill="1" applyBorder="1" applyAlignment="1">
      <alignment horizontal="center" vertical="center"/>
    </xf>
    <xf numFmtId="0" fontId="11" fillId="0" borderId="7" xfId="4" applyFont="1" applyFill="1" applyBorder="1" applyAlignment="1">
      <alignment vertical="center"/>
    </xf>
    <xf numFmtId="0" fontId="11" fillId="0" borderId="11" xfId="4" applyFont="1" applyBorder="1" applyAlignment="1">
      <alignment horizontal="left"/>
    </xf>
    <xf numFmtId="164" fontId="10" fillId="14" borderId="27" xfId="4" applyNumberFormat="1" applyFont="1" applyFill="1" applyBorder="1" applyAlignment="1">
      <alignment horizontal="center" vertical="center"/>
    </xf>
    <xf numFmtId="0" fontId="10" fillId="14" borderId="27" xfId="4" applyFont="1" applyFill="1" applyBorder="1" applyAlignment="1">
      <alignment horizontal="center" vertical="center"/>
    </xf>
    <xf numFmtId="0" fontId="10" fillId="14" borderId="27" xfId="23" applyFont="1" applyFill="1" applyBorder="1" applyAlignment="1">
      <alignment horizontal="center" vertical="center"/>
    </xf>
    <xf numFmtId="0" fontId="10" fillId="14" borderId="27" xfId="2" applyFont="1" applyFill="1" applyBorder="1" applyAlignment="1">
      <alignment horizontal="center" vertical="center"/>
    </xf>
    <xf numFmtId="164" fontId="10" fillId="14" borderId="57" xfId="4" applyNumberFormat="1" applyFont="1" applyFill="1" applyBorder="1" applyAlignment="1">
      <alignment horizontal="center" vertical="center"/>
    </xf>
    <xf numFmtId="164" fontId="10" fillId="0" borderId="0" xfId="4" applyNumberFormat="1" applyFont="1" applyFill="1" applyBorder="1" applyAlignment="1">
      <alignment horizontal="center" vertical="center"/>
    </xf>
    <xf numFmtId="0" fontId="10" fillId="0" borderId="0" xfId="4" applyFont="1" applyFill="1" applyBorder="1" applyAlignment="1">
      <alignment horizontal="center" vertical="center"/>
    </xf>
    <xf numFmtId="0" fontId="10" fillId="0" borderId="0" xfId="23" applyFont="1" applyFill="1" applyBorder="1" applyAlignment="1">
      <alignment horizontal="center" vertical="center"/>
    </xf>
    <xf numFmtId="0" fontId="10" fillId="0" borderId="0" xfId="2" applyFont="1" applyFill="1" applyBorder="1" applyAlignment="1">
      <alignment horizontal="center" vertical="center"/>
    </xf>
    <xf numFmtId="0" fontId="11" fillId="23" borderId="3" xfId="4" applyFont="1" applyFill="1" applyBorder="1" applyAlignment="1">
      <alignment horizontal="left"/>
    </xf>
    <xf numFmtId="164" fontId="10" fillId="23" borderId="3" xfId="2" applyNumberFormat="1" applyFont="1" applyFill="1" applyBorder="1" applyAlignment="1">
      <alignment horizontal="center" vertical="center"/>
    </xf>
    <xf numFmtId="0" fontId="10" fillId="23" borderId="3" xfId="4" applyFont="1" applyFill="1" applyBorder="1" applyAlignment="1">
      <alignment horizontal="center" vertical="center"/>
    </xf>
    <xf numFmtId="164" fontId="10" fillId="23" borderId="3" xfId="4" applyNumberFormat="1" applyFont="1" applyFill="1" applyBorder="1" applyAlignment="1">
      <alignment horizontal="center" vertical="center"/>
    </xf>
    <xf numFmtId="0" fontId="10" fillId="23" borderId="3" xfId="2" applyFont="1" applyFill="1" applyBorder="1" applyAlignment="1">
      <alignment horizontal="center" vertical="center"/>
    </xf>
    <xf numFmtId="187" fontId="73" fillId="0" borderId="15" xfId="2" applyNumberFormat="1" applyFont="1" applyFill="1" applyBorder="1" applyAlignment="1">
      <alignment vertical="center"/>
    </xf>
    <xf numFmtId="0" fontId="11" fillId="24" borderId="0" xfId="4" applyFont="1" applyFill="1"/>
    <xf numFmtId="0" fontId="11" fillId="24" borderId="0" xfId="4" applyFont="1" applyFill="1" applyAlignment="1">
      <alignment vertical="center"/>
    </xf>
    <xf numFmtId="1" fontId="10" fillId="0" borderId="10" xfId="4" applyNumberFormat="1" applyFont="1" applyBorder="1" applyAlignment="1">
      <alignment horizontal="center" vertical="center"/>
    </xf>
    <xf numFmtId="1" fontId="10" fillId="0" borderId="44" xfId="4" applyNumberFormat="1" applyFont="1" applyBorder="1" applyAlignment="1">
      <alignment vertical="center"/>
    </xf>
    <xf numFmtId="164" fontId="10" fillId="0" borderId="44" xfId="4" applyNumberFormat="1" applyFont="1" applyBorder="1" applyAlignment="1">
      <alignment horizontal="center"/>
    </xf>
    <xf numFmtId="0" fontId="11" fillId="0" borderId="44" xfId="4" applyFont="1" applyBorder="1" applyAlignment="1">
      <alignment horizontal="center"/>
    </xf>
    <xf numFmtId="0" fontId="11" fillId="19" borderId="44" xfId="4" applyFont="1" applyFill="1" applyBorder="1" applyAlignment="1">
      <alignment horizontal="center"/>
    </xf>
    <xf numFmtId="0" fontId="10" fillId="19" borderId="44" xfId="4" applyFont="1" applyFill="1" applyBorder="1" applyAlignment="1">
      <alignment horizontal="center"/>
    </xf>
    <xf numFmtId="0" fontId="11" fillId="0" borderId="44" xfId="2" applyFont="1" applyBorder="1" applyAlignment="1">
      <alignment horizontal="center"/>
    </xf>
    <xf numFmtId="164" fontId="10" fillId="19" borderId="93" xfId="4" applyNumberFormat="1" applyFont="1" applyFill="1" applyBorder="1" applyAlignment="1">
      <alignment horizontal="center"/>
    </xf>
    <xf numFmtId="1" fontId="10" fillId="0" borderId="12" xfId="4" applyNumberFormat="1" applyFont="1" applyBorder="1" applyAlignment="1">
      <alignment horizontal="centerContinuous" vertical="center"/>
    </xf>
    <xf numFmtId="1" fontId="10" fillId="14" borderId="27" xfId="4" applyNumberFormat="1" applyFont="1" applyFill="1" applyBorder="1" applyAlignment="1">
      <alignment horizontal="centerContinuous" vertical="center"/>
    </xf>
    <xf numFmtId="164" fontId="10" fillId="14" borderId="27" xfId="4" applyNumberFormat="1" applyFont="1" applyFill="1" applyBorder="1" applyAlignment="1">
      <alignment vertical="center"/>
    </xf>
    <xf numFmtId="0" fontId="11" fillId="14" borderId="27" xfId="4" applyFont="1" applyFill="1" applyBorder="1"/>
    <xf numFmtId="164" fontId="10" fillId="14" borderId="57" xfId="4" applyNumberFormat="1" applyFont="1" applyFill="1" applyBorder="1" applyAlignment="1">
      <alignment vertical="center"/>
    </xf>
    <xf numFmtId="164" fontId="45" fillId="15" borderId="14" xfId="4" applyNumberFormat="1" applyFont="1" applyFill="1" applyBorder="1" applyAlignment="1">
      <alignment vertical="center"/>
    </xf>
    <xf numFmtId="164" fontId="45" fillId="15" borderId="93" xfId="4" applyNumberFormat="1" applyFont="1" applyFill="1" applyBorder="1" applyAlignment="1">
      <alignment vertical="center"/>
    </xf>
    <xf numFmtId="171" fontId="70" fillId="0" borderId="0" xfId="18" applyNumberFormat="1" applyFont="1"/>
    <xf numFmtId="171" fontId="10" fillId="0" borderId="0" xfId="18" applyNumberFormat="1" applyFont="1" applyFill="1"/>
    <xf numFmtId="10" fontId="11" fillId="0" borderId="0" xfId="18" applyNumberFormat="1" applyFont="1" applyFill="1"/>
    <xf numFmtId="174" fontId="10" fillId="0" borderId="0" xfId="10" applyNumberFormat="1" applyFont="1"/>
    <xf numFmtId="2" fontId="8" fillId="0" borderId="0" xfId="10" applyNumberFormat="1"/>
    <xf numFmtId="10" fontId="6" fillId="0" borderId="0" xfId="18" applyNumberFormat="1" applyFont="1"/>
    <xf numFmtId="174" fontId="10" fillId="0" borderId="0" xfId="10" applyNumberFormat="1" applyFont="1" applyFill="1"/>
    <xf numFmtId="0" fontId="16" fillId="0" borderId="0" xfId="24" applyFont="1" applyFill="1" applyBorder="1" applyAlignment="1"/>
    <xf numFmtId="194" fontId="8" fillId="0" borderId="0" xfId="4" applyNumberFormat="1"/>
    <xf numFmtId="10" fontId="10" fillId="0" borderId="0" xfId="18" applyNumberFormat="1" applyFont="1" applyAlignment="1">
      <alignment vertical="center"/>
    </xf>
    <xf numFmtId="10" fontId="17" fillId="0" borderId="0" xfId="18" applyNumberFormat="1" applyFont="1"/>
    <xf numFmtId="195" fontId="6" fillId="0" borderId="0" xfId="0" applyNumberFormat="1" applyFont="1" applyAlignment="1">
      <alignment vertical="center"/>
    </xf>
    <xf numFmtId="171" fontId="6" fillId="0" borderId="0" xfId="18" applyNumberFormat="1" applyFont="1" applyAlignment="1">
      <alignment vertical="center"/>
    </xf>
    <xf numFmtId="10" fontId="6" fillId="0" borderId="0" xfId="18" applyNumberFormat="1" applyFont="1" applyAlignment="1">
      <alignment vertical="center"/>
    </xf>
    <xf numFmtId="9" fontId="6" fillId="0" borderId="0" xfId="18" applyNumberFormat="1" applyFont="1" applyAlignment="1">
      <alignment vertical="center"/>
    </xf>
    <xf numFmtId="171" fontId="11" fillId="0" borderId="0" xfId="18" applyNumberFormat="1" applyFont="1" applyAlignment="1">
      <alignment vertical="center"/>
    </xf>
    <xf numFmtId="194" fontId="10" fillId="0" borderId="0" xfId="10" applyNumberFormat="1" applyFont="1"/>
    <xf numFmtId="10" fontId="68" fillId="0" borderId="0" xfId="18" applyNumberFormat="1" applyFont="1"/>
    <xf numFmtId="10" fontId="3" fillId="0" borderId="0" xfId="18" applyNumberFormat="1" applyFont="1"/>
    <xf numFmtId="1" fontId="93" fillId="0" borderId="9" xfId="15" applyNumberFormat="1" applyFont="1" applyBorder="1" applyAlignment="1">
      <alignment horizontal="left" vertical="center" wrapText="1"/>
    </xf>
    <xf numFmtId="0" fontId="45" fillId="0" borderId="0" xfId="13" applyFont="1" applyAlignment="1">
      <alignment horizontal="left" vertical="center" wrapText="1"/>
    </xf>
    <xf numFmtId="0" fontId="58" fillId="9" borderId="0" xfId="24" applyFont="1" applyFill="1" applyAlignment="1">
      <alignment vertical="center"/>
    </xf>
    <xf numFmtId="0" fontId="0" fillId="13" borderId="0" xfId="0" applyFill="1"/>
    <xf numFmtId="164" fontId="37" fillId="0" borderId="29" xfId="4" applyNumberFormat="1" applyFont="1" applyBorder="1" applyAlignment="1">
      <alignment horizontal="center"/>
    </xf>
    <xf numFmtId="0" fontId="37" fillId="0" borderId="29" xfId="4" applyFont="1" applyFill="1" applyBorder="1" applyAlignment="1">
      <alignment horizontal="center"/>
    </xf>
    <xf numFmtId="164" fontId="37" fillId="0" borderId="24" xfId="4" applyNumberFormat="1" applyFont="1" applyBorder="1" applyAlignment="1">
      <alignment horizontal="center"/>
    </xf>
    <xf numFmtId="0" fontId="37" fillId="0" borderId="24" xfId="4" applyFont="1" applyFill="1" applyBorder="1" applyAlignment="1">
      <alignment horizontal="center"/>
    </xf>
    <xf numFmtId="164" fontId="37" fillId="0" borderId="44" xfId="4" applyNumberFormat="1" applyFont="1" applyBorder="1" applyAlignment="1">
      <alignment horizontal="center"/>
    </xf>
    <xf numFmtId="164" fontId="37" fillId="0" borderId="18" xfId="4" applyNumberFormat="1" applyFont="1" applyFill="1" applyBorder="1" applyAlignment="1">
      <alignment horizontal="center"/>
    </xf>
    <xf numFmtId="0" fontId="37" fillId="0" borderId="44" xfId="4" applyFont="1" applyFill="1" applyBorder="1" applyAlignment="1">
      <alignment horizontal="center"/>
    </xf>
    <xf numFmtId="0" fontId="11" fillId="14" borderId="27" xfId="4" applyFont="1" applyFill="1" applyBorder="1" applyAlignment="1">
      <alignment horizontal="center"/>
    </xf>
    <xf numFmtId="4" fontId="10" fillId="14" borderId="37" xfId="4" applyNumberFormat="1" applyFont="1" applyFill="1" applyBorder="1" applyAlignment="1">
      <alignment horizontal="center"/>
    </xf>
    <xf numFmtId="10" fontId="10" fillId="14" borderId="57" xfId="18" applyNumberFormat="1" applyFont="1" applyFill="1" applyBorder="1" applyAlignment="1">
      <alignment horizontal="center" vertical="center"/>
    </xf>
    <xf numFmtId="164" fontId="11" fillId="14" borderId="27" xfId="4" applyNumberFormat="1" applyFont="1" applyFill="1" applyBorder="1" applyAlignment="1">
      <alignment horizontal="center"/>
    </xf>
    <xf numFmtId="164" fontId="45" fillId="0" borderId="28" xfId="4" applyNumberFormat="1" applyFont="1" applyBorder="1" applyAlignment="1">
      <alignment horizontal="center"/>
    </xf>
    <xf numFmtId="164" fontId="45" fillId="0" borderId="24" xfId="4" applyNumberFormat="1" applyFont="1" applyBorder="1" applyAlignment="1">
      <alignment horizontal="center"/>
    </xf>
    <xf numFmtId="2" fontId="37" fillId="0" borderId="102" xfId="18" applyNumberFormat="1" applyFont="1" applyBorder="1" applyAlignment="1">
      <alignment horizontal="center"/>
    </xf>
    <xf numFmtId="164" fontId="45" fillId="0" borderId="28" xfId="24" applyNumberFormat="1" applyFont="1" applyBorder="1" applyAlignment="1">
      <alignment horizontal="center"/>
    </xf>
    <xf numFmtId="164" fontId="45" fillId="0" borderId="24" xfId="24" applyNumberFormat="1" applyFont="1" applyBorder="1" applyAlignment="1">
      <alignment horizontal="center"/>
    </xf>
    <xf numFmtId="164" fontId="45" fillId="0" borderId="18" xfId="24" applyNumberFormat="1" applyFont="1" applyBorder="1" applyAlignment="1">
      <alignment horizontal="center"/>
    </xf>
    <xf numFmtId="9" fontId="0" fillId="0" borderId="0" xfId="18" applyFont="1"/>
    <xf numFmtId="10" fontId="0" fillId="0" borderId="0" xfId="18" applyNumberFormat="1" applyFont="1"/>
    <xf numFmtId="10" fontId="103" fillId="0" borderId="14" xfId="18" applyNumberFormat="1" applyFont="1" applyBorder="1" applyAlignment="1">
      <alignment horizontal="center"/>
    </xf>
    <xf numFmtId="10" fontId="103" fillId="0" borderId="72" xfId="18" applyNumberFormat="1" applyFont="1" applyBorder="1" applyAlignment="1">
      <alignment horizontal="center"/>
    </xf>
    <xf numFmtId="10" fontId="103" fillId="0" borderId="93" xfId="18" applyNumberFormat="1" applyFont="1" applyBorder="1" applyAlignment="1">
      <alignment horizontal="center"/>
    </xf>
    <xf numFmtId="10" fontId="103" fillId="0" borderId="34" xfId="18" applyNumberFormat="1" applyFont="1" applyBorder="1" applyAlignment="1">
      <alignment horizontal="center"/>
    </xf>
    <xf numFmtId="10" fontId="103" fillId="0" borderId="35" xfId="18" applyNumberFormat="1" applyFont="1" applyBorder="1" applyAlignment="1">
      <alignment horizontal="center"/>
    </xf>
    <xf numFmtId="171" fontId="6" fillId="0" borderId="0" xfId="18" applyNumberFormat="1" applyFont="1"/>
    <xf numFmtId="164" fontId="1" fillId="0" borderId="0" xfId="24" applyNumberFormat="1" applyFont="1"/>
    <xf numFmtId="164" fontId="3" fillId="0" borderId="0" xfId="24" applyNumberFormat="1"/>
    <xf numFmtId="171" fontId="0" fillId="0" borderId="0" xfId="18" applyNumberFormat="1" applyFont="1"/>
    <xf numFmtId="171" fontId="10" fillId="0" borderId="0" xfId="18" applyNumberFormat="1" applyFont="1" applyAlignment="1">
      <alignment vertical="center"/>
    </xf>
    <xf numFmtId="196" fontId="0" fillId="0" borderId="0" xfId="18" applyNumberFormat="1" applyFont="1"/>
    <xf numFmtId="0" fontId="8" fillId="0" borderId="0" xfId="0" applyFont="1"/>
    <xf numFmtId="2" fontId="10" fillId="0" borderId="0" xfId="18" applyNumberFormat="1" applyFont="1" applyAlignment="1">
      <alignment vertical="center"/>
    </xf>
    <xf numFmtId="17" fontId="17" fillId="0" borderId="0" xfId="11" applyNumberFormat="1"/>
    <xf numFmtId="0" fontId="30" fillId="0" borderId="0" xfId="9" quotePrefix="1" applyFont="1" applyAlignment="1">
      <alignment horizontal="center" vertical="center"/>
    </xf>
    <xf numFmtId="0" fontId="8" fillId="0" borderId="0" xfId="15" applyFill="1" applyAlignment="1">
      <alignment horizontal="centerContinuous" vertical="center"/>
    </xf>
    <xf numFmtId="192" fontId="72" fillId="0" borderId="47" xfId="3" applyNumberFormat="1" applyFont="1" applyBorder="1" applyAlignment="1">
      <alignment horizontal="right"/>
    </xf>
    <xf numFmtId="192" fontId="75" fillId="0" borderId="47" xfId="3" applyNumberFormat="1" applyFont="1" applyBorder="1" applyAlignment="1">
      <alignment horizontal="right"/>
    </xf>
    <xf numFmtId="192" fontId="75" fillId="0" borderId="48" xfId="3" applyNumberFormat="1" applyFont="1" applyBorder="1" applyAlignment="1">
      <alignment horizontal="right"/>
    </xf>
    <xf numFmtId="0" fontId="94" fillId="0" borderId="0" xfId="0" applyFont="1" applyFill="1" applyAlignment="1">
      <alignment horizontal="center" vertical="center"/>
    </xf>
    <xf numFmtId="0" fontId="16" fillId="0" borderId="0" xfId="10" applyFont="1" applyFill="1"/>
    <xf numFmtId="0" fontId="11" fillId="11" borderId="47" xfId="0" applyFont="1" applyFill="1" applyBorder="1" applyAlignment="1">
      <alignment vertical="center"/>
    </xf>
    <xf numFmtId="190" fontId="11" fillId="11" borderId="47" xfId="0" applyNumberFormat="1" applyFont="1" applyFill="1" applyBorder="1" applyAlignment="1">
      <alignment vertical="center"/>
    </xf>
    <xf numFmtId="190" fontId="11" fillId="11" borderId="48" xfId="0" applyNumberFormat="1" applyFont="1" applyFill="1" applyBorder="1" applyAlignment="1">
      <alignment vertical="center"/>
    </xf>
    <xf numFmtId="0" fontId="11" fillId="11" borderId="48" xfId="0" applyFont="1" applyFill="1" applyBorder="1" applyAlignment="1">
      <alignment vertical="center"/>
    </xf>
    <xf numFmtId="178" fontId="11" fillId="20" borderId="131" xfId="12" applyNumberFormat="1" applyFont="1" applyFill="1" applyBorder="1" applyAlignment="1"/>
    <xf numFmtId="178" fontId="11" fillId="20" borderId="132" xfId="12" applyNumberFormat="1" applyFont="1" applyFill="1" applyBorder="1" applyAlignment="1"/>
    <xf numFmtId="178" fontId="11" fillId="20" borderId="133" xfId="12" applyNumberFormat="1" applyFont="1" applyFill="1" applyBorder="1" applyAlignment="1"/>
    <xf numFmtId="178" fontId="11" fillId="20" borderId="134" xfId="12" applyNumberFormat="1" applyFont="1" applyFill="1" applyBorder="1" applyAlignment="1"/>
    <xf numFmtId="0" fontId="11" fillId="0" borderId="135" xfId="12" applyFont="1" applyBorder="1"/>
    <xf numFmtId="178" fontId="11" fillId="20" borderId="136" xfId="12" applyNumberFormat="1" applyFont="1" applyFill="1" applyBorder="1" applyAlignment="1">
      <alignment horizontal="right"/>
    </xf>
    <xf numFmtId="178" fontId="11" fillId="20" borderId="137" xfId="12" applyNumberFormat="1" applyFont="1" applyFill="1" applyBorder="1" applyAlignment="1">
      <alignment horizontal="right"/>
    </xf>
    <xf numFmtId="178" fontId="11" fillId="20" borderId="138" xfId="12" applyNumberFormat="1" applyFont="1" applyFill="1" applyBorder="1" applyAlignment="1">
      <alignment horizontal="right"/>
    </xf>
    <xf numFmtId="10" fontId="17" fillId="0" borderId="50" xfId="18" applyNumberFormat="1" applyFont="1" applyBorder="1" applyAlignment="1">
      <alignment vertical="center"/>
    </xf>
    <xf numFmtId="0" fontId="3" fillId="0" borderId="31" xfId="24" applyBorder="1" applyAlignment="1">
      <alignment horizontal="center" vertical="center"/>
    </xf>
    <xf numFmtId="0" fontId="3" fillId="0" borderId="11" xfId="24" applyBorder="1" applyAlignment="1">
      <alignment horizontal="center" vertical="center"/>
    </xf>
    <xf numFmtId="0" fontId="3" fillId="0" borderId="9" xfId="24" applyBorder="1" applyAlignment="1">
      <alignment horizontal="center" vertical="center"/>
    </xf>
    <xf numFmtId="168" fontId="17" fillId="15" borderId="27" xfId="24" applyNumberFormat="1" applyFont="1" applyFill="1" applyBorder="1" applyAlignment="1">
      <alignment horizontal="center" vertical="center"/>
    </xf>
    <xf numFmtId="168" fontId="17" fillId="15" borderId="57" xfId="24" applyNumberFormat="1" applyFont="1" applyFill="1" applyBorder="1" applyAlignment="1">
      <alignment horizontal="center" vertical="center"/>
    </xf>
    <xf numFmtId="168" fontId="17" fillId="0" borderId="28" xfId="24" applyNumberFormat="1" applyFont="1" applyBorder="1" applyAlignment="1">
      <alignment horizontal="center" vertical="center"/>
    </xf>
    <xf numFmtId="168" fontId="17" fillId="0" borderId="24" xfId="24" applyNumberFormat="1" applyFont="1" applyBorder="1" applyAlignment="1">
      <alignment horizontal="center" vertical="center"/>
    </xf>
    <xf numFmtId="168" fontId="17" fillId="15" borderId="33" xfId="24" applyNumberFormat="1" applyFont="1" applyFill="1" applyBorder="1" applyAlignment="1">
      <alignment horizontal="center" vertical="center"/>
    </xf>
    <xf numFmtId="168" fontId="45" fillId="15" borderId="57" xfId="0" applyNumberFormat="1" applyFont="1" applyFill="1" applyBorder="1" applyAlignment="1">
      <alignment horizontal="center" vertical="center"/>
    </xf>
    <xf numFmtId="179" fontId="45" fillId="0" borderId="0" xfId="18" applyNumberFormat="1" applyFont="1" applyBorder="1" applyAlignment="1">
      <alignment vertical="center"/>
    </xf>
    <xf numFmtId="179" fontId="45" fillId="15" borderId="12" xfId="18" applyNumberFormat="1" applyFont="1" applyFill="1" applyBorder="1" applyAlignment="1">
      <alignment horizontal="center" vertical="center"/>
    </xf>
    <xf numFmtId="171" fontId="45" fillId="15" borderId="27" xfId="18" applyNumberFormat="1" applyFont="1" applyFill="1" applyBorder="1" applyAlignment="1">
      <alignment horizontal="center" vertical="center"/>
    </xf>
    <xf numFmtId="179" fontId="45" fillId="15" borderId="27" xfId="18" applyNumberFormat="1" applyFont="1" applyFill="1" applyBorder="1" applyAlignment="1">
      <alignment horizontal="center" vertical="center"/>
    </xf>
    <xf numFmtId="179" fontId="45" fillId="15" borderId="57" xfId="18" applyNumberFormat="1" applyFont="1" applyFill="1" applyBorder="1" applyAlignment="1">
      <alignment horizontal="center" vertical="center"/>
    </xf>
    <xf numFmtId="193" fontId="45" fillId="0" borderId="44" xfId="0" applyNumberFormat="1" applyFont="1" applyBorder="1" applyAlignment="1">
      <alignment horizontal="right" vertical="center"/>
    </xf>
    <xf numFmtId="193" fontId="45" fillId="0" borderId="92" xfId="0" applyNumberFormat="1" applyFont="1" applyBorder="1" applyAlignment="1">
      <alignment horizontal="right" vertical="center"/>
    </xf>
    <xf numFmtId="193" fontId="45" fillId="15" borderId="93" xfId="0" applyNumberFormat="1" applyFont="1" applyFill="1" applyBorder="1" applyAlignment="1">
      <alignment horizontal="right" vertical="center"/>
    </xf>
    <xf numFmtId="193" fontId="45" fillId="15" borderId="27" xfId="18" applyNumberFormat="1" applyFont="1" applyFill="1" applyBorder="1" applyAlignment="1">
      <alignment horizontal="right" vertical="center"/>
    </xf>
    <xf numFmtId="193" fontId="45" fillId="15" borderId="57" xfId="18" applyNumberFormat="1" applyFont="1" applyFill="1" applyBorder="1" applyAlignment="1">
      <alignment horizontal="right" vertical="center"/>
    </xf>
    <xf numFmtId="1" fontId="45" fillId="0" borderId="53" xfId="0" applyNumberFormat="1" applyFont="1" applyBorder="1" applyAlignment="1">
      <alignment horizontal="center" vertical="center" wrapText="1"/>
    </xf>
    <xf numFmtId="193" fontId="45" fillId="15" borderId="37" xfId="18" applyNumberFormat="1" applyFont="1" applyFill="1" applyBorder="1" applyAlignment="1">
      <alignment horizontal="right" vertical="center"/>
    </xf>
    <xf numFmtId="0" fontId="17" fillId="0" borderId="55" xfId="0" applyFont="1" applyBorder="1" applyAlignment="1">
      <alignment horizontal="center" vertical="center" wrapText="1"/>
    </xf>
    <xf numFmtId="193" fontId="45" fillId="15" borderId="140" xfId="0" applyNumberFormat="1" applyFont="1" applyFill="1" applyBorder="1" applyAlignment="1">
      <alignment horizontal="right" vertical="center"/>
    </xf>
    <xf numFmtId="193" fontId="45" fillId="15" borderId="139" xfId="18" applyNumberFormat="1" applyFont="1" applyFill="1" applyBorder="1" applyAlignment="1">
      <alignment horizontal="right" vertical="center"/>
    </xf>
    <xf numFmtId="1" fontId="17" fillId="0" borderId="97" xfId="0" applyNumberFormat="1" applyFont="1" applyBorder="1" applyAlignment="1">
      <alignment horizontal="center" vertical="center" wrapText="1"/>
    </xf>
    <xf numFmtId="193" fontId="45" fillId="0" borderId="67" xfId="0" applyNumberFormat="1" applyFont="1" applyBorder="1" applyAlignment="1">
      <alignment horizontal="right" vertical="center"/>
    </xf>
    <xf numFmtId="193" fontId="45" fillId="0" borderId="95" xfId="0" applyNumberFormat="1" applyFont="1" applyBorder="1" applyAlignment="1">
      <alignment horizontal="right" vertical="center"/>
    </xf>
    <xf numFmtId="193" fontId="45" fillId="0" borderId="18" xfId="0" applyNumberFormat="1" applyFont="1" applyBorder="1" applyAlignment="1">
      <alignment horizontal="right" vertical="center"/>
    </xf>
    <xf numFmtId="0" fontId="0" fillId="0" borderId="0" xfId="0" applyAlignment="1">
      <alignment wrapText="1"/>
    </xf>
    <xf numFmtId="0" fontId="58" fillId="0" borderId="0" xfId="0" applyFont="1" applyFill="1" applyAlignment="1">
      <alignment horizontal="center" vertical="center"/>
    </xf>
    <xf numFmtId="0" fontId="16" fillId="0" borderId="0" xfId="0" applyFont="1" applyFill="1"/>
    <xf numFmtId="0" fontId="17" fillId="0" borderId="0" xfId="9" applyFont="1" applyAlignment="1">
      <alignment horizontal="center" vertical="center"/>
    </xf>
    <xf numFmtId="0" fontId="30" fillId="0" borderId="0" xfId="9" applyFont="1" applyAlignment="1">
      <alignment horizontal="center" vertical="center"/>
    </xf>
    <xf numFmtId="0" fontId="30" fillId="0" borderId="0" xfId="9" applyFont="1" applyAlignment="1">
      <alignment horizontal="right" vertical="top" wrapText="1"/>
    </xf>
    <xf numFmtId="0" fontId="30" fillId="0" borderId="0" xfId="9" applyAlignment="1">
      <alignment horizontal="center" vertical="center"/>
    </xf>
    <xf numFmtId="1" fontId="18" fillId="0" borderId="123" xfId="15" applyNumberFormat="1" applyFont="1" applyBorder="1" applyAlignment="1">
      <alignment horizontal="center" vertical="center" wrapText="1"/>
    </xf>
    <xf numFmtId="0" fontId="8" fillId="0" borderId="58" xfId="4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/>
    </xf>
    <xf numFmtId="0" fontId="17" fillId="0" borderId="76" xfId="3" applyFont="1" applyFill="1" applyBorder="1" applyAlignment="1">
      <alignment horizontal="center" vertical="center"/>
    </xf>
    <xf numFmtId="0" fontId="70" fillId="0" borderId="0" xfId="3" applyAlignment="1">
      <alignment horizontal="center" vertical="center"/>
    </xf>
    <xf numFmtId="0" fontId="70" fillId="0" borderId="0" xfId="3" applyBorder="1" applyAlignment="1">
      <alignment horizontal="center" vertical="center"/>
    </xf>
    <xf numFmtId="1" fontId="17" fillId="0" borderId="0" xfId="0" applyNumberFormat="1" applyFont="1" applyBorder="1" applyAlignment="1">
      <alignment horizontal="left" vertical="center" wrapText="1"/>
    </xf>
    <xf numFmtId="1" fontId="45" fillId="0" borderId="43" xfId="4" applyNumberFormat="1" applyFont="1" applyBorder="1" applyAlignment="1">
      <alignment horizontal="center"/>
    </xf>
    <xf numFmtId="1" fontId="45" fillId="0" borderId="86" xfId="4" applyNumberFormat="1" applyFont="1" applyBorder="1" applyAlignment="1">
      <alignment horizontal="center"/>
    </xf>
    <xf numFmtId="0" fontId="46" fillId="0" borderId="51" xfId="0" applyFont="1" applyBorder="1" applyAlignment="1">
      <alignment horizontal="center" vertical="center" textRotation="90"/>
    </xf>
    <xf numFmtId="0" fontId="17" fillId="0" borderId="64" xfId="12" applyFont="1" applyBorder="1" applyAlignment="1">
      <alignment horizontal="center" vertical="center"/>
    </xf>
    <xf numFmtId="0" fontId="17" fillId="0" borderId="65" xfId="12" applyFont="1" applyBorder="1" applyAlignment="1">
      <alignment horizontal="center" vertical="center"/>
    </xf>
    <xf numFmtId="0" fontId="17" fillId="0" borderId="5" xfId="12" applyFont="1" applyBorder="1" applyAlignment="1">
      <alignment horizontal="center" vertical="center" wrapText="1"/>
    </xf>
    <xf numFmtId="0" fontId="17" fillId="0" borderId="11" xfId="12" applyFont="1" applyBorder="1" applyAlignment="1">
      <alignment horizontal="center" vertical="center"/>
    </xf>
    <xf numFmtId="0" fontId="17" fillId="0" borderId="64" xfId="12" applyFont="1" applyBorder="1" applyAlignment="1">
      <alignment horizontal="center" vertical="center" wrapText="1"/>
    </xf>
    <xf numFmtId="0" fontId="17" fillId="0" borderId="65" xfId="12" applyFont="1" applyBorder="1" applyAlignment="1">
      <alignment horizontal="center" vertical="center" wrapText="1"/>
    </xf>
    <xf numFmtId="0" fontId="17" fillId="0" borderId="3" xfId="12" applyFont="1" applyBorder="1" applyAlignment="1">
      <alignment horizontal="center" wrapText="1"/>
    </xf>
    <xf numFmtId="0" fontId="17" fillId="0" borderId="13" xfId="12" applyFont="1" applyBorder="1" applyAlignment="1">
      <alignment horizontal="center" wrapText="1"/>
    </xf>
    <xf numFmtId="0" fontId="17" fillId="0" borderId="13" xfId="12" applyFont="1" applyBorder="1" applyAlignment="1">
      <alignment horizontal="center"/>
    </xf>
    <xf numFmtId="0" fontId="13" fillId="0" borderId="0" xfId="4" applyFont="1" applyAlignment="1">
      <alignment horizontal="center"/>
    </xf>
    <xf numFmtId="0" fontId="14" fillId="7" borderId="15" xfId="0" applyFont="1" applyFill="1" applyBorder="1" applyAlignment="1">
      <alignment horizontal="center" vertical="center"/>
    </xf>
    <xf numFmtId="0" fontId="14" fillId="7" borderId="17" xfId="0" applyFont="1" applyFill="1" applyBorder="1" applyAlignment="1">
      <alignment horizontal="center" vertical="center"/>
    </xf>
    <xf numFmtId="0" fontId="14" fillId="7" borderId="26" xfId="0" applyFont="1" applyFill="1" applyBorder="1" applyAlignment="1">
      <alignment horizontal="center" vertical="center"/>
    </xf>
    <xf numFmtId="0" fontId="13" fillId="0" borderId="0" xfId="9" applyFont="1" applyAlignment="1">
      <alignment horizontal="center" vertical="center" wrapText="1"/>
    </xf>
    <xf numFmtId="0" fontId="30" fillId="0" borderId="0" xfId="9" applyFont="1" applyAlignment="1">
      <alignment horizontal="center" vertical="center" wrapText="1"/>
    </xf>
    <xf numFmtId="0" fontId="13" fillId="0" borderId="0" xfId="9" applyFont="1" applyBorder="1" applyAlignment="1">
      <alignment horizontal="center" vertical="center" wrapText="1"/>
    </xf>
    <xf numFmtId="0" fontId="17" fillId="0" borderId="0" xfId="9" applyFont="1" applyAlignment="1">
      <alignment horizontal="center"/>
    </xf>
    <xf numFmtId="0" fontId="30" fillId="0" borderId="0" xfId="9" applyAlignment="1">
      <alignment horizontal="center"/>
    </xf>
    <xf numFmtId="1" fontId="17" fillId="0" borderId="20" xfId="0" applyNumberFormat="1" applyFont="1" applyBorder="1" applyAlignment="1">
      <alignment horizontal="center" vertical="center"/>
    </xf>
    <xf numFmtId="1" fontId="17" fillId="0" borderId="21" xfId="0" applyNumberFormat="1" applyFont="1" applyBorder="1" applyAlignment="1">
      <alignment horizontal="center" vertical="center"/>
    </xf>
    <xf numFmtId="1" fontId="10" fillId="0" borderId="0" xfId="0" applyNumberFormat="1" applyFont="1" applyBorder="1" applyAlignment="1">
      <alignment horizontal="center" vertical="center"/>
    </xf>
    <xf numFmtId="1" fontId="17" fillId="0" borderId="20" xfId="24" applyNumberFormat="1" applyFont="1" applyBorder="1" applyAlignment="1">
      <alignment horizontal="center" vertical="center"/>
    </xf>
    <xf numFmtId="1" fontId="17" fillId="0" borderId="21" xfId="24" applyNumberFormat="1" applyFont="1" applyBorder="1" applyAlignment="1">
      <alignment horizontal="center" vertical="center"/>
    </xf>
    <xf numFmtId="1" fontId="17" fillId="0" borderId="20" xfId="4" applyNumberFormat="1" applyFont="1" applyBorder="1" applyAlignment="1">
      <alignment horizontal="center" vertical="center"/>
    </xf>
    <xf numFmtId="1" fontId="11" fillId="0" borderId="21" xfId="4" applyNumberFormat="1" applyFont="1" applyBorder="1" applyAlignment="1">
      <alignment horizontal="center" vertical="center"/>
    </xf>
    <xf numFmtId="166" fontId="17" fillId="0" borderId="22" xfId="24" applyNumberFormat="1" applyFont="1" applyBorder="1" applyAlignment="1">
      <alignment horizontal="center" vertical="center" wrapText="1"/>
    </xf>
    <xf numFmtId="1" fontId="10" fillId="0" borderId="0" xfId="24" applyNumberFormat="1" applyFont="1" applyBorder="1" applyAlignment="1">
      <alignment horizontal="center"/>
    </xf>
    <xf numFmtId="1" fontId="17" fillId="0" borderId="21" xfId="4" applyNumberFormat="1" applyFont="1" applyBorder="1" applyAlignment="1">
      <alignment horizontal="center" vertical="center"/>
    </xf>
    <xf numFmtId="1" fontId="45" fillId="0" borderId="20" xfId="4" applyNumberFormat="1" applyFont="1" applyBorder="1" applyAlignment="1">
      <alignment horizontal="center" vertical="center"/>
    </xf>
    <xf numFmtId="1" fontId="45" fillId="0" borderId="21" xfId="4" applyNumberFormat="1" applyFont="1" applyBorder="1" applyAlignment="1">
      <alignment horizontal="center" vertical="center"/>
    </xf>
    <xf numFmtId="1" fontId="11" fillId="0" borderId="0" xfId="0" applyNumberFormat="1" applyFont="1" applyBorder="1" applyAlignment="1">
      <alignment horizontal="center" vertical="center" wrapText="1"/>
    </xf>
    <xf numFmtId="166" fontId="17" fillId="0" borderId="22" xfId="4" applyNumberFormat="1" applyFont="1" applyBorder="1" applyAlignment="1">
      <alignment horizontal="center" vertical="center" wrapText="1"/>
    </xf>
    <xf numFmtId="1" fontId="45" fillId="0" borderId="20" xfId="16" applyNumberFormat="1" applyFont="1" applyBorder="1" applyAlignment="1">
      <alignment horizontal="center" vertical="center"/>
    </xf>
    <xf numFmtId="1" fontId="45" fillId="0" borderId="21" xfId="16" applyNumberFormat="1" applyFont="1" applyBorder="1" applyAlignment="1">
      <alignment horizontal="center" vertical="center"/>
    </xf>
    <xf numFmtId="1" fontId="45" fillId="0" borderId="21" xfId="16" applyNumberFormat="1" applyFont="1" applyBorder="1" applyAlignment="1">
      <alignment horizontal="center" vertical="center" wrapText="1"/>
    </xf>
    <xf numFmtId="166" fontId="45" fillId="0" borderId="22" xfId="16" applyNumberFormat="1" applyFont="1" applyBorder="1" applyAlignment="1">
      <alignment horizontal="center" vertical="center" wrapText="1"/>
    </xf>
    <xf numFmtId="1" fontId="17" fillId="0" borderId="21" xfId="13" applyNumberFormat="1" applyFont="1" applyBorder="1" applyAlignment="1">
      <alignment horizontal="center" vertical="center"/>
    </xf>
    <xf numFmtId="1" fontId="10" fillId="0" borderId="0" xfId="13" applyNumberFormat="1" applyFont="1" applyAlignment="1">
      <alignment horizontal="center" vertical="center"/>
    </xf>
    <xf numFmtId="1" fontId="18" fillId="0" borderId="52" xfId="4" applyNumberFormat="1" applyFont="1" applyBorder="1" applyAlignment="1">
      <alignment horizontal="center" vertical="center" wrapText="1"/>
    </xf>
    <xf numFmtId="166" fontId="13" fillId="0" borderId="0" xfId="4" applyNumberFormat="1" applyFont="1" applyAlignment="1">
      <alignment horizontal="center"/>
    </xf>
    <xf numFmtId="1" fontId="17" fillId="0" borderId="85" xfId="10" applyNumberFormat="1" applyFont="1" applyBorder="1" applyAlignment="1">
      <alignment horizontal="center" vertical="center"/>
    </xf>
    <xf numFmtId="1" fontId="17" fillId="0" borderId="86" xfId="10" applyNumberFormat="1" applyFont="1" applyBorder="1" applyAlignment="1">
      <alignment horizontal="center" vertical="center" wrapText="1"/>
    </xf>
    <xf numFmtId="1" fontId="17" fillId="0" borderId="57" xfId="10" applyNumberFormat="1" applyFont="1" applyBorder="1" applyAlignment="1">
      <alignment horizontal="center" vertical="center" wrapText="1"/>
    </xf>
    <xf numFmtId="1" fontId="17" fillId="0" borderId="12" xfId="10" applyNumberFormat="1" applyFont="1" applyBorder="1" applyAlignment="1">
      <alignment horizontal="center" vertical="center" wrapText="1"/>
    </xf>
    <xf numFmtId="1" fontId="17" fillId="15" borderId="12" xfId="10" applyNumberFormat="1" applyFont="1" applyFill="1" applyBorder="1" applyAlignment="1">
      <alignment horizontal="center" vertical="center" wrapText="1"/>
    </xf>
    <xf numFmtId="1" fontId="17" fillId="15" borderId="27" xfId="10" applyNumberFormat="1" applyFont="1" applyFill="1" applyBorder="1" applyAlignment="1">
      <alignment horizontal="center" vertical="center" wrapText="1"/>
    </xf>
    <xf numFmtId="1" fontId="17" fillId="15" borderId="57" xfId="10" applyNumberFormat="1" applyFont="1" applyFill="1" applyBorder="1" applyAlignment="1">
      <alignment horizontal="center" vertical="center" wrapText="1"/>
    </xf>
    <xf numFmtId="1" fontId="17" fillId="0" borderId="85" xfId="10" applyNumberFormat="1" applyFont="1" applyFill="1" applyBorder="1" applyAlignment="1">
      <alignment horizontal="center" vertical="center"/>
    </xf>
    <xf numFmtId="1" fontId="17" fillId="0" borderId="86" xfId="10" applyNumberFormat="1" applyFont="1" applyFill="1" applyBorder="1" applyAlignment="1">
      <alignment horizontal="center" vertical="center" wrapText="1"/>
    </xf>
    <xf numFmtId="1" fontId="17" fillId="0" borderId="57" xfId="10" applyNumberFormat="1" applyFont="1" applyFill="1" applyBorder="1" applyAlignment="1">
      <alignment horizontal="center" vertical="center" wrapText="1"/>
    </xf>
    <xf numFmtId="1" fontId="17" fillId="0" borderId="12" xfId="10" applyNumberFormat="1" applyFont="1" applyFill="1" applyBorder="1" applyAlignment="1">
      <alignment horizontal="center" vertical="center" wrapText="1"/>
    </xf>
    <xf numFmtId="0" fontId="17" fillId="0" borderId="0" xfId="9" applyFont="1"/>
    <xf numFmtId="1" fontId="17" fillId="0" borderId="6" xfId="0" applyNumberFormat="1" applyFont="1" applyBorder="1" applyAlignment="1">
      <alignment horizontal="center" vertical="center"/>
    </xf>
    <xf numFmtId="0" fontId="17" fillId="0" borderId="0" xfId="12" applyFont="1"/>
    <xf numFmtId="0" fontId="17" fillId="0" borderId="0" xfId="24" applyFont="1" applyBorder="1" applyAlignment="1">
      <alignment vertical="center"/>
    </xf>
    <xf numFmtId="1" fontId="17" fillId="0" borderId="0" xfId="0" applyNumberFormat="1" applyFont="1" applyBorder="1" applyAlignment="1">
      <alignment vertical="top" wrapText="1"/>
    </xf>
    <xf numFmtId="0" fontId="17" fillId="0" borderId="9" xfId="14" applyFont="1" applyFill="1" applyBorder="1" applyAlignment="1">
      <alignment vertical="center"/>
    </xf>
    <xf numFmtId="1" fontId="17" fillId="0" borderId="6" xfId="4" applyNumberFormat="1" applyFont="1" applyBorder="1" applyAlignment="1">
      <alignment horizontal="center" vertical="center"/>
    </xf>
    <xf numFmtId="0" fontId="17" fillId="0" borderId="9" xfId="3" applyFont="1" applyBorder="1" applyAlignment="1">
      <alignment horizontal="center"/>
    </xf>
    <xf numFmtId="0" fontId="17" fillId="0" borderId="0" xfId="15" applyFont="1"/>
    <xf numFmtId="0" fontId="104" fillId="13" borderId="0" xfId="0" applyFont="1" applyFill="1" applyAlignment="1">
      <alignment horizontal="centerContinuous" vertical="center"/>
    </xf>
    <xf numFmtId="0" fontId="105" fillId="9" borderId="0" xfId="0" applyFont="1" applyFill="1" applyAlignment="1">
      <alignment horizontal="centerContinuous" vertical="center"/>
    </xf>
    <xf numFmtId="192" fontId="72" fillId="0" borderId="25" xfId="3" applyNumberFormat="1" applyFont="1" applyBorder="1" applyAlignment="1">
      <alignment horizontal="right"/>
    </xf>
    <xf numFmtId="0" fontId="17" fillId="0" borderId="67" xfId="3" applyFont="1" applyBorder="1" applyAlignment="1">
      <alignment horizontal="center"/>
    </xf>
    <xf numFmtId="0" fontId="17" fillId="0" borderId="24" xfId="3" applyFont="1" applyBorder="1" applyAlignment="1">
      <alignment horizontal="center"/>
    </xf>
    <xf numFmtId="0" fontId="13" fillId="0" borderId="0" xfId="9" applyFont="1" applyBorder="1" applyAlignment="1">
      <alignment vertical="center" wrapText="1"/>
    </xf>
    <xf numFmtId="0" fontId="13" fillId="0" borderId="0" xfId="9" applyFont="1" applyBorder="1" applyAlignment="1">
      <alignment horizontal="center" vertical="top"/>
    </xf>
    <xf numFmtId="0" fontId="13" fillId="0" borderId="0" xfId="9" applyFont="1" applyBorder="1" applyAlignment="1"/>
    <xf numFmtId="0" fontId="30" fillId="0" borderId="0" xfId="9" applyFont="1" applyAlignment="1">
      <alignment horizontal="center" wrapText="1"/>
    </xf>
    <xf numFmtId="0" fontId="30" fillId="0" borderId="74" xfId="9" applyBorder="1"/>
    <xf numFmtId="0" fontId="30" fillId="0" borderId="65" xfId="9" applyBorder="1"/>
    <xf numFmtId="0" fontId="30" fillId="0" borderId="116" xfId="9" applyFont="1" applyBorder="1" applyAlignment="1">
      <alignment wrapText="1"/>
    </xf>
    <xf numFmtId="0" fontId="30" fillId="0" borderId="118" xfId="9" applyFont="1" applyBorder="1" applyAlignment="1">
      <alignment horizontal="center" wrapText="1"/>
    </xf>
    <xf numFmtId="164" fontId="45" fillId="0" borderId="102" xfId="16" applyNumberFormat="1" applyFont="1" applyBorder="1" applyAlignment="1">
      <alignment vertical="center"/>
    </xf>
    <xf numFmtId="174" fontId="17" fillId="0" borderId="25" xfId="24" applyNumberFormat="1" applyFont="1" applyBorder="1" applyAlignment="1">
      <alignment vertical="center"/>
    </xf>
    <xf numFmtId="0" fontId="17" fillId="0" borderId="23" xfId="24" applyFont="1" applyBorder="1" applyAlignment="1">
      <alignment horizontal="center" vertical="center"/>
    </xf>
    <xf numFmtId="0" fontId="17" fillId="0" borderId="24" xfId="24" applyFont="1" applyBorder="1" applyAlignment="1">
      <alignment horizontal="center" vertical="center"/>
    </xf>
    <xf numFmtId="178" fontId="17" fillId="0" borderId="25" xfId="24" applyNumberFormat="1" applyFont="1" applyBorder="1" applyAlignment="1">
      <alignment vertical="center"/>
    </xf>
    <xf numFmtId="178" fontId="17" fillId="4" borderId="27" xfId="12" applyNumberFormat="1" applyFont="1" applyFill="1" applyBorder="1" applyAlignment="1">
      <alignment vertical="center"/>
    </xf>
    <xf numFmtId="0" fontId="17" fillId="0" borderId="103" xfId="24" applyFont="1" applyBorder="1" applyAlignment="1">
      <alignment horizontal="center" vertical="center"/>
    </xf>
    <xf numFmtId="164" fontId="45" fillId="0" borderId="25" xfId="24" applyNumberFormat="1" applyFont="1" applyBorder="1" applyAlignment="1">
      <alignment vertical="center"/>
    </xf>
    <xf numFmtId="164" fontId="45" fillId="0" borderId="25" xfId="4" applyNumberFormat="1" applyFont="1" applyBorder="1" applyAlignment="1">
      <alignment horizontal="center"/>
    </xf>
    <xf numFmtId="0" fontId="17" fillId="0" borderId="0" xfId="9" applyFont="1" applyAlignment="1">
      <alignment horizontal="center" vertical="center"/>
    </xf>
    <xf numFmtId="174" fontId="17" fillId="15" borderId="45" xfId="10" applyNumberFormat="1" applyFont="1" applyFill="1" applyBorder="1" applyAlignment="1">
      <alignment vertical="center"/>
    </xf>
    <xf numFmtId="174" fontId="17" fillId="15" borderId="48" xfId="10" applyNumberFormat="1" applyFont="1" applyFill="1" applyBorder="1" applyAlignment="1">
      <alignment vertical="center"/>
    </xf>
    <xf numFmtId="0" fontId="11" fillId="0" borderId="9" xfId="3" applyFont="1" applyBorder="1" applyAlignment="1">
      <alignment horizontal="center"/>
    </xf>
    <xf numFmtId="0" fontId="72" fillId="0" borderId="25" xfId="3" applyFont="1" applyFill="1" applyBorder="1" applyAlignment="1">
      <alignment horizontal="center"/>
    </xf>
    <xf numFmtId="0" fontId="11" fillId="0" borderId="67" xfId="3" applyFont="1" applyBorder="1" applyAlignment="1">
      <alignment horizontal="center"/>
    </xf>
    <xf numFmtId="164" fontId="45" fillId="0" borderId="25" xfId="4" applyNumberFormat="1" applyFont="1" applyBorder="1" applyAlignment="1">
      <alignment vertical="center"/>
    </xf>
    <xf numFmtId="1" fontId="17" fillId="0" borderId="24" xfId="4" applyNumberFormat="1" applyFont="1" applyBorder="1" applyAlignment="1">
      <alignment horizontal="center" vertical="center"/>
    </xf>
    <xf numFmtId="164" fontId="45" fillId="0" borderId="102" xfId="4" applyNumberFormat="1" applyFont="1" applyBorder="1" applyAlignment="1">
      <alignment vertical="center"/>
    </xf>
    <xf numFmtId="190" fontId="17" fillId="0" borderId="25" xfId="0" applyNumberFormat="1" applyFont="1" applyFill="1" applyBorder="1" applyAlignment="1">
      <alignment vertical="center"/>
    </xf>
    <xf numFmtId="0" fontId="17" fillId="0" borderId="16" xfId="0" applyFont="1" applyBorder="1" applyAlignment="1">
      <alignment horizontal="center" vertical="center" textRotation="90"/>
    </xf>
    <xf numFmtId="0" fontId="17" fillId="0" borderId="28" xfId="0" applyFont="1" applyBorder="1" applyAlignment="1">
      <alignment horizontal="center" vertical="center" textRotation="90"/>
    </xf>
    <xf numFmtId="191" fontId="17" fillId="0" borderId="68" xfId="0" applyNumberFormat="1" applyFont="1" applyBorder="1" applyAlignment="1">
      <alignment vertical="center"/>
    </xf>
    <xf numFmtId="178" fontId="17" fillId="0" borderId="102" xfId="13" applyNumberFormat="1" applyFont="1" applyBorder="1" applyAlignment="1">
      <alignment vertical="center"/>
    </xf>
    <xf numFmtId="178" fontId="17" fillId="0" borderId="25" xfId="13" applyNumberFormat="1" applyFont="1" applyBorder="1" applyAlignment="1">
      <alignment vertical="center"/>
    </xf>
    <xf numFmtId="0" fontId="17" fillId="0" borderId="103" xfId="4" applyFont="1" applyBorder="1" applyAlignment="1">
      <alignment horizontal="center" vertical="center"/>
    </xf>
    <xf numFmtId="178" fontId="11" fillId="21" borderId="141" xfId="12" applyNumberFormat="1" applyFont="1" applyFill="1" applyBorder="1" applyAlignment="1"/>
    <xf numFmtId="178" fontId="11" fillId="21" borderId="142" xfId="12" applyNumberFormat="1" applyFont="1" applyFill="1" applyBorder="1" applyAlignment="1"/>
    <xf numFmtId="178" fontId="11" fillId="21" borderId="143" xfId="12" applyNumberFormat="1" applyFont="1" applyFill="1" applyBorder="1" applyAlignment="1"/>
    <xf numFmtId="178" fontId="11" fillId="21" borderId="141" xfId="12" applyNumberFormat="1" applyFont="1" applyFill="1" applyBorder="1" applyAlignment="1">
      <alignment horizontal="right"/>
    </xf>
    <xf numFmtId="178" fontId="11" fillId="21" borderId="142" xfId="12" applyNumberFormat="1" applyFont="1" applyFill="1" applyBorder="1" applyAlignment="1">
      <alignment horizontal="right"/>
    </xf>
    <xf numFmtId="178" fontId="11" fillId="21" borderId="143" xfId="12" applyNumberFormat="1" applyFont="1" applyFill="1" applyBorder="1" applyAlignment="1">
      <alignment horizontal="right"/>
    </xf>
    <xf numFmtId="178" fontId="17" fillId="0" borderId="25" xfId="4" applyNumberFormat="1" applyFont="1" applyBorder="1" applyAlignment="1">
      <alignment horizontal="right" vertical="center"/>
    </xf>
    <xf numFmtId="178" fontId="17" fillId="0" borderId="102" xfId="4" applyNumberFormat="1" applyFont="1" applyBorder="1" applyAlignment="1">
      <alignment vertical="center"/>
    </xf>
    <xf numFmtId="177" fontId="45" fillId="0" borderId="57" xfId="19" applyNumberFormat="1" applyFont="1" applyBorder="1" applyAlignment="1">
      <alignment vertical="center"/>
    </xf>
    <xf numFmtId="166" fontId="17" fillId="0" borderId="57" xfId="24" applyNumberFormat="1" applyFont="1" applyBorder="1" applyAlignment="1">
      <alignment vertical="center"/>
    </xf>
    <xf numFmtId="0" fontId="0" fillId="25" borderId="0" xfId="0" applyFill="1"/>
    <xf numFmtId="0" fontId="17" fillId="0" borderId="12" xfId="24" applyFont="1" applyBorder="1" applyAlignment="1">
      <alignment horizontal="center" vertical="center"/>
    </xf>
    <xf numFmtId="1" fontId="17" fillId="0" borderId="27" xfId="24" applyNumberFormat="1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1" fontId="17" fillId="0" borderId="25" xfId="24" applyNumberFormat="1" applyFont="1" applyBorder="1" applyAlignment="1">
      <alignment horizontal="center" vertical="center" wrapText="1"/>
    </xf>
    <xf numFmtId="0" fontId="17" fillId="0" borderId="67" xfId="24" applyFont="1" applyBorder="1" applyAlignment="1">
      <alignment horizontal="center" vertical="center"/>
    </xf>
    <xf numFmtId="168" fontId="45" fillId="0" borderId="25" xfId="0" applyNumberFormat="1" applyFont="1" applyBorder="1" applyAlignment="1">
      <alignment horizontal="center" vertical="center"/>
    </xf>
    <xf numFmtId="1" fontId="17" fillId="0" borderId="23" xfId="0" applyNumberFormat="1" applyFont="1" applyBorder="1" applyAlignment="1">
      <alignment horizontal="center" vertical="center"/>
    </xf>
    <xf numFmtId="1" fontId="17" fillId="0" borderId="24" xfId="0" applyNumberFormat="1" applyFont="1" applyBorder="1" applyAlignment="1">
      <alignment horizontal="center" vertical="center"/>
    </xf>
    <xf numFmtId="0" fontId="17" fillId="0" borderId="71" xfId="0" applyFont="1" applyFill="1" applyBorder="1" applyAlignment="1">
      <alignment horizontal="center" vertical="center" textRotation="90"/>
    </xf>
    <xf numFmtId="0" fontId="7" fillId="0" borderId="0" xfId="24" applyFont="1" applyFill="1" applyAlignment="1">
      <alignment vertical="center"/>
    </xf>
    <xf numFmtId="10" fontId="37" fillId="0" borderId="0" xfId="19" applyNumberFormat="1" applyFont="1" applyFill="1" applyBorder="1" applyAlignment="1">
      <alignment vertical="center"/>
    </xf>
    <xf numFmtId="0" fontId="37" fillId="0" borderId="0" xfId="24" applyFont="1" applyAlignment="1">
      <alignment vertical="center"/>
    </xf>
    <xf numFmtId="0" fontId="11" fillId="0" borderId="0" xfId="24" applyFont="1" applyAlignment="1">
      <alignment vertical="center"/>
    </xf>
    <xf numFmtId="0" fontId="17" fillId="0" borderId="0" xfId="9" applyFont="1" applyAlignment="1">
      <alignment horizontal="center" vertical="center"/>
    </xf>
    <xf numFmtId="0" fontId="30" fillId="0" borderId="0" xfId="9" applyFont="1" applyAlignment="1">
      <alignment horizontal="center" vertical="center"/>
    </xf>
    <xf numFmtId="0" fontId="16" fillId="0" borderId="116" xfId="9" applyFont="1" applyBorder="1" applyAlignment="1">
      <alignment horizontal="center" vertical="center" wrapText="1"/>
    </xf>
    <xf numFmtId="0" fontId="16" fillId="0" borderId="117" xfId="9" applyFont="1" applyBorder="1" applyAlignment="1">
      <alignment horizontal="center" vertical="center" wrapText="1"/>
    </xf>
    <xf numFmtId="0" fontId="16" fillId="0" borderId="117" xfId="9" applyFont="1" applyBorder="1" applyAlignment="1">
      <alignment vertical="center" wrapText="1"/>
    </xf>
    <xf numFmtId="0" fontId="16" fillId="0" borderId="118" xfId="9" applyFont="1" applyBorder="1" applyAlignment="1">
      <alignment vertical="center" wrapText="1"/>
    </xf>
    <xf numFmtId="0" fontId="16" fillId="0" borderId="119" xfId="9" applyFont="1" applyBorder="1" applyAlignment="1">
      <alignment horizontal="center" vertical="top"/>
    </xf>
    <xf numFmtId="0" fontId="16" fillId="0" borderId="120" xfId="9" applyFont="1" applyBorder="1" applyAlignment="1">
      <alignment horizontal="center" vertical="top"/>
    </xf>
    <xf numFmtId="0" fontId="16" fillId="0" borderId="120" xfId="9" applyFont="1" applyBorder="1" applyAlignment="1"/>
    <xf numFmtId="0" fontId="16" fillId="0" borderId="121" xfId="9" applyFont="1" applyBorder="1" applyAlignment="1"/>
    <xf numFmtId="0" fontId="30" fillId="0" borderId="0" xfId="9" applyFont="1" applyAlignment="1">
      <alignment horizontal="right" vertical="top" wrapText="1"/>
    </xf>
    <xf numFmtId="0" fontId="30" fillId="0" borderId="0" xfId="9" applyAlignment="1">
      <alignment horizontal="center" vertical="center"/>
    </xf>
    <xf numFmtId="0" fontId="89" fillId="0" borderId="0" xfId="0" applyFont="1" applyAlignment="1">
      <alignment horizontal="center"/>
    </xf>
    <xf numFmtId="0" fontId="16" fillId="0" borderId="0" xfId="15" applyFont="1" applyFill="1" applyAlignment="1">
      <alignment horizontal="center" vertical="center"/>
    </xf>
    <xf numFmtId="0" fontId="16" fillId="0" borderId="0" xfId="15" applyFont="1" applyFill="1" applyAlignment="1">
      <alignment horizontal="center" vertical="center" wrapText="1"/>
    </xf>
    <xf numFmtId="0" fontId="26" fillId="0" borderId="0" xfId="4" applyFont="1" applyFill="1" applyAlignment="1">
      <alignment horizontal="center" vertical="center"/>
    </xf>
    <xf numFmtId="1" fontId="18" fillId="0" borderId="122" xfId="15" applyNumberFormat="1" applyFont="1" applyBorder="1" applyAlignment="1">
      <alignment horizontal="center" vertical="center" wrapText="1"/>
    </xf>
    <xf numFmtId="1" fontId="18" fillId="0" borderId="96" xfId="15" applyNumberFormat="1" applyFont="1" applyBorder="1" applyAlignment="1">
      <alignment horizontal="center" vertical="center" wrapText="1"/>
    </xf>
    <xf numFmtId="1" fontId="18" fillId="0" borderId="77" xfId="15" applyNumberFormat="1" applyFont="1" applyBorder="1" applyAlignment="1">
      <alignment horizontal="center" vertical="center" wrapText="1"/>
    </xf>
    <xf numFmtId="1" fontId="18" fillId="0" borderId="26" xfId="15" applyNumberFormat="1" applyFont="1" applyBorder="1" applyAlignment="1">
      <alignment horizontal="center" vertical="center" wrapText="1"/>
    </xf>
    <xf numFmtId="1" fontId="18" fillId="0" borderId="78" xfId="15" applyNumberFormat="1" applyFont="1" applyBorder="1" applyAlignment="1">
      <alignment horizontal="center" vertical="center" wrapText="1"/>
    </xf>
    <xf numFmtId="1" fontId="18" fillId="0" borderId="73" xfId="15" applyNumberFormat="1" applyFont="1" applyBorder="1" applyAlignment="1">
      <alignment horizontal="center" vertical="center" wrapText="1"/>
    </xf>
    <xf numFmtId="1" fontId="18" fillId="0" borderId="52" xfId="15" applyNumberFormat="1" applyFont="1" applyBorder="1" applyAlignment="1">
      <alignment horizontal="center" vertical="center" wrapText="1"/>
    </xf>
    <xf numFmtId="1" fontId="18" fillId="0" borderId="55" xfId="15" applyNumberFormat="1" applyFont="1" applyBorder="1" applyAlignment="1">
      <alignment horizontal="center" vertical="center" wrapText="1"/>
    </xf>
    <xf numFmtId="0" fontId="84" fillId="0" borderId="0" xfId="15" applyFont="1" applyFill="1" applyAlignment="1">
      <alignment horizontal="center" vertical="center"/>
    </xf>
    <xf numFmtId="0" fontId="84" fillId="0" borderId="0" xfId="15" applyFont="1" applyFill="1" applyAlignment="1">
      <alignment horizontal="center" vertical="center" wrapText="1"/>
    </xf>
    <xf numFmtId="0" fontId="93" fillId="0" borderId="0" xfId="4" applyFont="1" applyFill="1" applyAlignment="1">
      <alignment horizontal="center" vertical="center"/>
    </xf>
    <xf numFmtId="1" fontId="81" fillId="0" borderId="52" xfId="15" applyNumberFormat="1" applyFont="1" applyBorder="1" applyAlignment="1">
      <alignment horizontal="center" vertical="center" wrapText="1"/>
    </xf>
    <xf numFmtId="1" fontId="81" fillId="0" borderId="55" xfId="15" applyNumberFormat="1" applyFont="1" applyBorder="1" applyAlignment="1">
      <alignment horizontal="center" vertical="center" wrapText="1"/>
    </xf>
    <xf numFmtId="1" fontId="81" fillId="0" borderId="122" xfId="15" applyNumberFormat="1" applyFont="1" applyBorder="1" applyAlignment="1">
      <alignment horizontal="center" vertical="center" wrapText="1"/>
    </xf>
    <xf numFmtId="1" fontId="81" fillId="0" borderId="96" xfId="15" applyNumberFormat="1" applyFont="1" applyBorder="1" applyAlignment="1">
      <alignment horizontal="center" vertical="center" wrapText="1"/>
    </xf>
    <xf numFmtId="1" fontId="81" fillId="0" borderId="5" xfId="15" applyNumberFormat="1" applyFont="1" applyBorder="1" applyAlignment="1">
      <alignment horizontal="center" vertical="center" wrapText="1"/>
    </xf>
    <xf numFmtId="1" fontId="81" fillId="0" borderId="11" xfId="15" applyNumberFormat="1" applyFont="1" applyBorder="1" applyAlignment="1">
      <alignment horizontal="center" vertical="center" wrapText="1"/>
    </xf>
    <xf numFmtId="1" fontId="81" fillId="0" borderId="77" xfId="15" applyNumberFormat="1" applyFont="1" applyBorder="1" applyAlignment="1">
      <alignment horizontal="center" vertical="center" wrapText="1"/>
    </xf>
    <xf numFmtId="1" fontId="81" fillId="0" borderId="26" xfId="15" applyNumberFormat="1" applyFont="1" applyBorder="1" applyAlignment="1">
      <alignment horizontal="center" vertical="center" wrapText="1"/>
    </xf>
    <xf numFmtId="1" fontId="81" fillId="0" borderId="78" xfId="15" applyNumberFormat="1" applyFont="1" applyFill="1" applyBorder="1" applyAlignment="1">
      <alignment horizontal="center" vertical="center" wrapText="1"/>
    </xf>
    <xf numFmtId="1" fontId="81" fillId="0" borderId="73" xfId="15" applyNumberFormat="1" applyFont="1" applyFill="1" applyBorder="1" applyAlignment="1">
      <alignment horizontal="center" vertical="center" wrapText="1"/>
    </xf>
    <xf numFmtId="0" fontId="16" fillId="0" borderId="0" xfId="15" applyFont="1" applyFill="1" applyAlignment="1">
      <alignment horizontal="center" wrapText="1"/>
    </xf>
    <xf numFmtId="1" fontId="18" fillId="0" borderId="5" xfId="15" applyNumberFormat="1" applyFont="1" applyBorder="1" applyAlignment="1">
      <alignment horizontal="center" vertical="center" wrapText="1"/>
    </xf>
    <xf numFmtId="1" fontId="18" fillId="0" borderId="11" xfId="15" applyNumberFormat="1" applyFont="1" applyBorder="1" applyAlignment="1">
      <alignment horizontal="center" vertical="center" wrapText="1"/>
    </xf>
    <xf numFmtId="0" fontId="17" fillId="15" borderId="21" xfId="3" applyFont="1" applyFill="1" applyBorder="1" applyAlignment="1">
      <alignment horizontal="center" vertical="center"/>
    </xf>
    <xf numFmtId="0" fontId="17" fillId="15" borderId="22" xfId="3" applyFont="1" applyFill="1" applyBorder="1" applyAlignment="1">
      <alignment horizontal="center" vertical="center"/>
    </xf>
    <xf numFmtId="0" fontId="17" fillId="15" borderId="2" xfId="3" applyFont="1" applyFill="1" applyBorder="1" applyAlignment="1">
      <alignment horizontal="center" vertical="center"/>
    </xf>
    <xf numFmtId="0" fontId="17" fillId="15" borderId="76" xfId="3" applyFont="1" applyFill="1" applyBorder="1" applyAlignment="1">
      <alignment horizontal="center" vertical="center"/>
    </xf>
    <xf numFmtId="0" fontId="17" fillId="15" borderId="91" xfId="3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/>
    </xf>
    <xf numFmtId="0" fontId="17" fillId="0" borderId="2" xfId="3" applyFont="1" applyFill="1" applyBorder="1" applyAlignment="1">
      <alignment horizontal="center" vertical="center"/>
    </xf>
    <xf numFmtId="0" fontId="17" fillId="0" borderId="76" xfId="3" applyFont="1" applyFill="1" applyBorder="1" applyAlignment="1">
      <alignment horizontal="center" vertical="center"/>
    </xf>
    <xf numFmtId="0" fontId="11" fillId="0" borderId="0" xfId="2" applyFont="1" applyFill="1" applyAlignment="1">
      <alignment horizontal="center" vertical="center" wrapText="1"/>
    </xf>
    <xf numFmtId="0" fontId="17" fillId="0" borderId="52" xfId="3" applyFont="1" applyFill="1" applyBorder="1" applyAlignment="1">
      <alignment horizontal="center" vertical="center"/>
    </xf>
    <xf numFmtId="0" fontId="17" fillId="0" borderId="54" xfId="3" applyFont="1" applyFill="1" applyBorder="1" applyAlignment="1">
      <alignment horizontal="center" vertical="center"/>
    </xf>
    <xf numFmtId="0" fontId="17" fillId="0" borderId="97" xfId="3" applyFont="1" applyFill="1" applyBorder="1" applyAlignment="1">
      <alignment horizontal="center" vertical="center"/>
    </xf>
    <xf numFmtId="0" fontId="17" fillId="0" borderId="53" xfId="3" applyFont="1" applyFill="1" applyBorder="1" applyAlignment="1">
      <alignment horizontal="center" vertical="center"/>
    </xf>
    <xf numFmtId="0" fontId="11" fillId="0" borderId="52" xfId="10" applyFont="1" applyFill="1" applyBorder="1" applyAlignment="1">
      <alignment horizontal="center"/>
    </xf>
    <xf numFmtId="0" fontId="11" fillId="0" borderId="55" xfId="10" applyFont="1" applyFill="1" applyBorder="1" applyAlignment="1">
      <alignment horizontal="center"/>
    </xf>
    <xf numFmtId="166" fontId="11" fillId="0" borderId="52" xfId="10" applyNumberFormat="1" applyFont="1" applyFill="1" applyBorder="1" applyAlignment="1">
      <alignment horizontal="center"/>
    </xf>
    <xf numFmtId="166" fontId="11" fillId="0" borderId="55" xfId="10" applyNumberFormat="1" applyFont="1" applyFill="1" applyBorder="1" applyAlignment="1">
      <alignment horizontal="center"/>
    </xf>
    <xf numFmtId="0" fontId="11" fillId="15" borderId="52" xfId="10" applyFont="1" applyFill="1" applyBorder="1" applyAlignment="1">
      <alignment horizontal="center"/>
    </xf>
    <xf numFmtId="0" fontId="11" fillId="15" borderId="54" xfId="10" applyFont="1" applyFill="1" applyBorder="1" applyAlignment="1">
      <alignment horizontal="center"/>
    </xf>
    <xf numFmtId="0" fontId="11" fillId="15" borderId="55" xfId="10" applyFont="1" applyFill="1" applyBorder="1" applyAlignment="1">
      <alignment horizontal="center"/>
    </xf>
    <xf numFmtId="166" fontId="20" fillId="0" borderId="0" xfId="10" applyNumberFormat="1" applyFont="1" applyAlignment="1">
      <alignment horizontal="right"/>
    </xf>
    <xf numFmtId="0" fontId="11" fillId="0" borderId="52" xfId="10" applyFont="1" applyBorder="1" applyAlignment="1">
      <alignment horizontal="center"/>
    </xf>
    <xf numFmtId="0" fontId="11" fillId="0" borderId="55" xfId="10" applyFont="1" applyBorder="1" applyAlignment="1">
      <alignment horizontal="center"/>
    </xf>
    <xf numFmtId="166" fontId="11" fillId="0" borderId="52" xfId="10" applyNumberFormat="1" applyFont="1" applyBorder="1" applyAlignment="1">
      <alignment horizontal="center"/>
    </xf>
    <xf numFmtId="166" fontId="11" fillId="0" borderId="55" xfId="10" applyNumberFormat="1" applyFont="1" applyBorder="1" applyAlignment="1">
      <alignment horizontal="center"/>
    </xf>
    <xf numFmtId="0" fontId="72" fillId="0" borderId="52" xfId="3" applyFont="1" applyBorder="1" applyAlignment="1">
      <alignment horizontal="center" vertical="center" wrapText="1"/>
    </xf>
    <xf numFmtId="0" fontId="72" fillId="0" borderId="97" xfId="3" applyFont="1" applyBorder="1" applyAlignment="1">
      <alignment horizontal="center" vertical="center" wrapText="1"/>
    </xf>
    <xf numFmtId="0" fontId="72" fillId="0" borderId="53" xfId="3" applyFont="1" applyBorder="1" applyAlignment="1">
      <alignment horizontal="center" vertical="center" wrapText="1"/>
    </xf>
    <xf numFmtId="0" fontId="72" fillId="0" borderId="55" xfId="3" applyFont="1" applyBorder="1" applyAlignment="1">
      <alignment horizontal="center" vertical="center" wrapText="1"/>
    </xf>
    <xf numFmtId="0" fontId="16" fillId="0" borderId="0" xfId="10" applyFont="1" applyFill="1" applyBorder="1" applyAlignment="1">
      <alignment horizontal="center" vertical="center"/>
    </xf>
    <xf numFmtId="0" fontId="94" fillId="9" borderId="0" xfId="0" applyFont="1" applyFill="1" applyAlignment="1">
      <alignment horizontal="center" vertical="center"/>
    </xf>
    <xf numFmtId="0" fontId="1" fillId="0" borderId="0" xfId="3" applyFont="1" applyAlignment="1">
      <alignment horizontal="left" vertical="center" wrapText="1"/>
    </xf>
    <xf numFmtId="0" fontId="70" fillId="0" borderId="89" xfId="3" applyBorder="1" applyAlignment="1">
      <alignment horizontal="center" vertical="center"/>
    </xf>
    <xf numFmtId="0" fontId="70" fillId="0" borderId="124" xfId="3" applyBorder="1" applyAlignment="1">
      <alignment horizontal="center" vertical="center"/>
    </xf>
    <xf numFmtId="0" fontId="13" fillId="0" borderId="117" xfId="9" applyFont="1" applyBorder="1" applyAlignment="1">
      <alignment horizontal="center" wrapText="1"/>
    </xf>
    <xf numFmtId="0" fontId="13" fillId="0" borderId="119" xfId="9" applyFont="1" applyBorder="1" applyAlignment="1">
      <alignment horizontal="center" wrapText="1"/>
    </xf>
    <xf numFmtId="0" fontId="13" fillId="0" borderId="120" xfId="9" applyFont="1" applyBorder="1" applyAlignment="1">
      <alignment horizontal="center" wrapText="1"/>
    </xf>
    <xf numFmtId="0" fontId="13" fillId="0" borderId="121" xfId="9" applyFont="1" applyBorder="1" applyAlignment="1">
      <alignment horizontal="center" wrapText="1"/>
    </xf>
    <xf numFmtId="0" fontId="13" fillId="0" borderId="0" xfId="9" applyFont="1" applyAlignment="1">
      <alignment horizontal="center" wrapText="1"/>
    </xf>
    <xf numFmtId="0" fontId="30" fillId="0" borderId="0" xfId="9" applyFont="1" applyAlignment="1">
      <alignment horizontal="center" wrapText="1"/>
    </xf>
    <xf numFmtId="1" fontId="16" fillId="0" borderId="0" xfId="0" applyNumberFormat="1" applyFont="1" applyAlignment="1">
      <alignment horizontal="center" vertical="center"/>
    </xf>
    <xf numFmtId="0" fontId="94" fillId="9" borderId="0" xfId="4" applyFont="1" applyFill="1" applyAlignment="1">
      <alignment horizontal="center" vertical="center"/>
    </xf>
    <xf numFmtId="0" fontId="67" fillId="9" borderId="0" xfId="4" applyFont="1" applyFill="1" applyAlignment="1">
      <alignment horizontal="center" vertical="center"/>
    </xf>
    <xf numFmtId="0" fontId="46" fillId="0" borderId="5" xfId="0" applyFont="1" applyBorder="1" applyAlignment="1">
      <alignment vertical="center" textRotation="90"/>
    </xf>
    <xf numFmtId="0" fontId="46" fillId="0" borderId="7" xfId="0" applyFont="1" applyBorder="1" applyAlignment="1">
      <alignment vertical="center" textRotation="90"/>
    </xf>
    <xf numFmtId="0" fontId="46" fillId="0" borderId="7" xfId="0" applyFont="1" applyBorder="1" applyAlignment="1">
      <alignment horizontal="center" vertical="center" textRotation="90"/>
    </xf>
    <xf numFmtId="0" fontId="46" fillId="0" borderId="11" xfId="0" applyFont="1" applyBorder="1" applyAlignment="1">
      <alignment horizontal="center" vertical="center" textRotation="90"/>
    </xf>
    <xf numFmtId="0" fontId="46" fillId="0" borderId="31" xfId="0" applyFont="1" applyBorder="1" applyAlignment="1">
      <alignment horizontal="center" vertical="center" textRotation="90"/>
    </xf>
    <xf numFmtId="0" fontId="46" fillId="0" borderId="19" xfId="0" applyFont="1" applyBorder="1" applyAlignment="1">
      <alignment horizontal="center" vertical="center" textRotation="90"/>
    </xf>
    <xf numFmtId="0" fontId="46" fillId="0" borderId="51" xfId="0" applyFont="1" applyBorder="1" applyAlignment="1">
      <alignment horizontal="center" vertical="center" textRotation="90"/>
    </xf>
    <xf numFmtId="0" fontId="46" fillId="0" borderId="12" xfId="0" applyFont="1" applyBorder="1" applyAlignment="1">
      <alignment horizontal="center" vertical="center" textRotation="90"/>
    </xf>
    <xf numFmtId="0" fontId="67" fillId="9" borderId="0" xfId="0" applyFont="1" applyFill="1" applyAlignment="1">
      <alignment horizontal="center" vertical="center"/>
    </xf>
    <xf numFmtId="0" fontId="17" fillId="0" borderId="0" xfId="0" applyFont="1" applyAlignment="1"/>
    <xf numFmtId="0" fontId="16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6" fillId="0" borderId="5" xfId="0" applyFont="1" applyBorder="1" applyAlignment="1">
      <alignment horizontal="center" vertical="center" textRotation="90"/>
    </xf>
    <xf numFmtId="0" fontId="67" fillId="13" borderId="0" xfId="15" applyFont="1" applyFill="1" applyAlignment="1">
      <alignment horizontal="center" vertical="center"/>
    </xf>
    <xf numFmtId="0" fontId="0" fillId="0" borderId="0" xfId="0" applyAlignment="1"/>
    <xf numFmtId="0" fontId="17" fillId="0" borderId="0" xfId="0" applyFont="1" applyFill="1" applyBorder="1" applyAlignment="1">
      <alignment horizontal="left" vertical="center"/>
    </xf>
    <xf numFmtId="0" fontId="11" fillId="12" borderId="52" xfId="0" applyFont="1" applyFill="1" applyBorder="1" applyAlignment="1">
      <alignment horizontal="center" vertical="center"/>
    </xf>
    <xf numFmtId="0" fontId="11" fillId="12" borderId="54" xfId="0" applyFont="1" applyFill="1" applyBorder="1" applyAlignment="1">
      <alignment horizontal="center" vertical="center"/>
    </xf>
    <xf numFmtId="0" fontId="11" fillId="12" borderId="55" xfId="0" applyFont="1" applyFill="1" applyBorder="1" applyAlignment="1">
      <alignment horizontal="center" vertical="center"/>
    </xf>
    <xf numFmtId="0" fontId="30" fillId="0" borderId="0" xfId="9" quotePrefix="1" applyFont="1" applyAlignment="1">
      <alignment horizontal="center" vertical="center"/>
    </xf>
    <xf numFmtId="0" fontId="13" fillId="0" borderId="116" xfId="9" applyFont="1" applyBorder="1" applyAlignment="1">
      <alignment horizontal="center" vertical="center" wrapText="1"/>
    </xf>
    <xf numFmtId="0" fontId="13" fillId="0" borderId="117" xfId="9" applyFont="1" applyBorder="1" applyAlignment="1">
      <alignment horizontal="center" vertical="center" wrapText="1"/>
    </xf>
    <xf numFmtId="0" fontId="13" fillId="0" borderId="117" xfId="9" applyFont="1" applyBorder="1" applyAlignment="1">
      <alignment vertical="center" wrapText="1"/>
    </xf>
    <xf numFmtId="0" fontId="13" fillId="0" borderId="118" xfId="9" applyFont="1" applyBorder="1" applyAlignment="1">
      <alignment vertical="center" wrapText="1"/>
    </xf>
    <xf numFmtId="0" fontId="13" fillId="0" borderId="119" xfId="9" applyFont="1" applyBorder="1" applyAlignment="1">
      <alignment horizontal="center" vertical="center" wrapText="1"/>
    </xf>
    <xf numFmtId="0" fontId="13" fillId="0" borderId="120" xfId="9" applyFont="1" applyBorder="1" applyAlignment="1">
      <alignment horizontal="center" vertical="center" wrapText="1"/>
    </xf>
    <xf numFmtId="0" fontId="13" fillId="0" borderId="121" xfId="9" applyFont="1" applyBorder="1" applyAlignment="1">
      <alignment horizontal="center" vertical="center" wrapText="1"/>
    </xf>
    <xf numFmtId="0" fontId="13" fillId="0" borderId="0" xfId="9" applyFont="1" applyAlignment="1">
      <alignment horizontal="center" vertical="center" wrapText="1"/>
    </xf>
    <xf numFmtId="0" fontId="57" fillId="9" borderId="0" xfId="4" applyFont="1" applyFill="1" applyAlignment="1">
      <alignment horizontal="center" vertical="center" wrapText="1"/>
    </xf>
    <xf numFmtId="0" fontId="16" fillId="0" borderId="0" xfId="4" applyFont="1" applyFill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8" fillId="0" borderId="0" xfId="4" applyFont="1" applyAlignment="1">
      <alignment horizontal="left" vertical="center"/>
    </xf>
    <xf numFmtId="0" fontId="97" fillId="14" borderId="0" xfId="13" applyFont="1" applyFill="1" applyAlignment="1">
      <alignment horizontal="center"/>
    </xf>
    <xf numFmtId="0" fontId="58" fillId="9" borderId="0" xfId="0" applyFont="1" applyFill="1" applyAlignment="1">
      <alignment horizontal="center" vertical="center"/>
    </xf>
    <xf numFmtId="0" fontId="16" fillId="0" borderId="0" xfId="13" applyFont="1" applyAlignment="1">
      <alignment horizontal="center" vertical="center"/>
    </xf>
    <xf numFmtId="0" fontId="11" fillId="0" borderId="52" xfId="13" applyFont="1" applyBorder="1" applyAlignment="1">
      <alignment horizontal="center" vertical="center"/>
    </xf>
    <xf numFmtId="0" fontId="11" fillId="0" borderId="54" xfId="13" applyFont="1" applyBorder="1" applyAlignment="1">
      <alignment horizontal="center" vertical="center"/>
    </xf>
    <xf numFmtId="0" fontId="11" fillId="0" borderId="97" xfId="13" applyFont="1" applyBorder="1" applyAlignment="1">
      <alignment horizontal="center" vertical="center"/>
    </xf>
    <xf numFmtId="0" fontId="11" fillId="0" borderId="53" xfId="13" applyFont="1" applyBorder="1" applyAlignment="1">
      <alignment horizontal="center" vertical="center"/>
    </xf>
    <xf numFmtId="0" fontId="11" fillId="0" borderId="55" xfId="13" applyFont="1" applyBorder="1" applyAlignment="1">
      <alignment horizontal="center" vertical="center"/>
    </xf>
    <xf numFmtId="0" fontId="45" fillId="0" borderId="0" xfId="13" applyFont="1" applyAlignment="1">
      <alignment horizontal="left" vertical="center" wrapText="1"/>
    </xf>
    <xf numFmtId="0" fontId="103" fillId="0" borderId="0" xfId="4" applyFont="1" applyAlignment="1">
      <alignment horizontal="left" wrapText="1"/>
    </xf>
    <xf numFmtId="0" fontId="11" fillId="0" borderId="52" xfId="4" applyFont="1" applyBorder="1" applyAlignment="1">
      <alignment horizontal="center" vertical="center"/>
    </xf>
    <xf numFmtId="0" fontId="17" fillId="0" borderId="54" xfId="4" applyFont="1" applyBorder="1" applyAlignment="1">
      <alignment horizontal="center" vertical="center"/>
    </xf>
    <xf numFmtId="0" fontId="17" fillId="0" borderId="97" xfId="4" applyFont="1" applyBorder="1" applyAlignment="1">
      <alignment horizontal="center" vertical="center"/>
    </xf>
    <xf numFmtId="0" fontId="11" fillId="0" borderId="38" xfId="4" applyFont="1" applyBorder="1" applyAlignment="1">
      <alignment horizontal="center" vertical="center"/>
    </xf>
    <xf numFmtId="0" fontId="17" fillId="0" borderId="38" xfId="4" applyFont="1" applyBorder="1" applyAlignment="1">
      <alignment horizontal="center" vertical="center"/>
    </xf>
    <xf numFmtId="0" fontId="17" fillId="0" borderId="32" xfId="4" applyFont="1" applyBorder="1" applyAlignment="1">
      <alignment horizontal="center" vertical="center"/>
    </xf>
    <xf numFmtId="0" fontId="17" fillId="0" borderId="103" xfId="9" applyFont="1" applyBorder="1" applyAlignment="1">
      <alignment vertical="center" wrapText="1"/>
    </xf>
    <xf numFmtId="0" fontId="17" fillId="0" borderId="0" xfId="9" applyFont="1" applyBorder="1" applyAlignment="1">
      <alignment vertical="center" wrapText="1"/>
    </xf>
    <xf numFmtId="0" fontId="16" fillId="0" borderId="118" xfId="9" applyFont="1" applyBorder="1" applyAlignment="1">
      <alignment horizontal="center" vertical="center" wrapText="1"/>
    </xf>
    <xf numFmtId="0" fontId="16" fillId="0" borderId="119" xfId="9" applyFont="1" applyBorder="1" applyAlignment="1">
      <alignment horizontal="center" vertical="center" wrapText="1"/>
    </xf>
    <xf numFmtId="0" fontId="16" fillId="0" borderId="120" xfId="9" applyFont="1" applyBorder="1" applyAlignment="1">
      <alignment horizontal="center" vertical="center" wrapText="1"/>
    </xf>
    <xf numFmtId="0" fontId="16" fillId="0" borderId="121" xfId="9" applyFont="1" applyBorder="1" applyAlignment="1">
      <alignment horizontal="center" vertical="center" wrapText="1"/>
    </xf>
    <xf numFmtId="0" fontId="16" fillId="0" borderId="0" xfId="9" applyFont="1" applyAlignment="1">
      <alignment horizontal="center" vertical="center"/>
    </xf>
    <xf numFmtId="166" fontId="20" fillId="0" borderId="0" xfId="4" applyNumberFormat="1" applyFont="1" applyAlignment="1">
      <alignment horizontal="right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Alignment="1">
      <alignment horizontal="center"/>
    </xf>
    <xf numFmtId="1" fontId="45" fillId="0" borderId="43" xfId="4" applyNumberFormat="1" applyFont="1" applyBorder="1" applyAlignment="1">
      <alignment horizontal="center" vertical="center"/>
    </xf>
    <xf numFmtId="1" fontId="45" fillId="0" borderId="86" xfId="4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7" fillId="0" borderId="0" xfId="16" applyFont="1" applyAlignment="1">
      <alignment horizontal="center" vertical="center"/>
    </xf>
    <xf numFmtId="1" fontId="45" fillId="0" borderId="43" xfId="16" applyNumberFormat="1" applyFont="1" applyBorder="1" applyAlignment="1">
      <alignment horizontal="center" vertical="center"/>
    </xf>
    <xf numFmtId="1" fontId="45" fillId="0" borderId="86" xfId="16" applyNumberFormat="1" applyFont="1" applyBorder="1" applyAlignment="1">
      <alignment horizontal="center" vertical="center"/>
    </xf>
    <xf numFmtId="0" fontId="67" fillId="9" borderId="0" xfId="6" applyFont="1" applyFill="1" applyAlignment="1">
      <alignment horizontal="center" vertical="center"/>
    </xf>
    <xf numFmtId="0" fontId="16" fillId="0" borderId="0" xfId="11" applyFont="1" applyAlignment="1">
      <alignment horizontal="center" vertical="center"/>
    </xf>
    <xf numFmtId="0" fontId="16" fillId="0" borderId="0" xfId="14" applyFont="1" applyAlignment="1">
      <alignment horizontal="center" vertical="center" wrapText="1"/>
    </xf>
    <xf numFmtId="0" fontId="39" fillId="0" borderId="43" xfId="0" applyFont="1" applyBorder="1" applyAlignment="1">
      <alignment horizontal="center" vertical="center"/>
    </xf>
    <xf numFmtId="0" fontId="39" fillId="0" borderId="86" xfId="0" applyFont="1" applyBorder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0" fontId="18" fillId="0" borderId="54" xfId="0" applyFont="1" applyBorder="1" applyAlignment="1">
      <alignment horizontal="center" vertical="center"/>
    </xf>
    <xf numFmtId="0" fontId="18" fillId="0" borderId="55" xfId="0" applyFont="1" applyBorder="1" applyAlignment="1">
      <alignment horizontal="center" vertical="center"/>
    </xf>
    <xf numFmtId="0" fontId="18" fillId="0" borderId="52" xfId="0" applyFont="1" applyBorder="1" applyAlignment="1">
      <alignment horizontal="center" vertical="center"/>
    </xf>
    <xf numFmtId="0" fontId="18" fillId="0" borderId="97" xfId="0" applyFont="1" applyBorder="1" applyAlignment="1">
      <alignment horizontal="center" vertical="center"/>
    </xf>
    <xf numFmtId="0" fontId="16" fillId="0" borderId="0" xfId="12" applyFont="1" applyAlignment="1">
      <alignment horizontal="center" vertical="center"/>
    </xf>
    <xf numFmtId="0" fontId="11" fillId="0" borderId="52" xfId="12" applyFont="1" applyBorder="1" applyAlignment="1">
      <alignment horizontal="center" vertical="center"/>
    </xf>
    <xf numFmtId="0" fontId="11" fillId="0" borderId="54" xfId="12" applyFont="1" applyBorder="1" applyAlignment="1">
      <alignment horizontal="center" vertical="center"/>
    </xf>
    <xf numFmtId="0" fontId="11" fillId="0" borderId="55" xfId="12" applyFont="1" applyBorder="1" applyAlignment="1">
      <alignment horizontal="center" vertical="center"/>
    </xf>
    <xf numFmtId="0" fontId="17" fillId="0" borderId="5" xfId="12" applyFont="1" applyBorder="1" applyAlignment="1">
      <alignment horizontal="center" vertical="center" wrapText="1"/>
    </xf>
    <xf numFmtId="0" fontId="17" fillId="0" borderId="11" xfId="12" applyFont="1" applyBorder="1" applyAlignment="1">
      <alignment horizontal="center" vertical="center" wrapText="1"/>
    </xf>
    <xf numFmtId="0" fontId="17" fillId="0" borderId="2" xfId="12" applyFont="1" applyBorder="1" applyAlignment="1">
      <alignment horizontal="center" vertical="center" wrapText="1"/>
    </xf>
    <xf numFmtId="0" fontId="17" fillId="0" borderId="130" xfId="12" applyFont="1" applyBorder="1" applyAlignment="1">
      <alignment horizontal="center" vertical="center" wrapText="1"/>
    </xf>
    <xf numFmtId="0" fontId="17" fillId="0" borderId="76" xfId="12" applyFont="1" applyBorder="1" applyAlignment="1">
      <alignment horizontal="center" vertical="center" wrapText="1"/>
    </xf>
    <xf numFmtId="0" fontId="17" fillId="0" borderId="2" xfId="12" applyFont="1" applyBorder="1" applyAlignment="1">
      <alignment horizontal="center" vertical="center"/>
    </xf>
    <xf numFmtId="0" fontId="17" fillId="0" borderId="130" xfId="12" applyFont="1" applyBorder="1" applyAlignment="1">
      <alignment horizontal="center" vertical="center"/>
    </xf>
    <xf numFmtId="0" fontId="17" fillId="0" borderId="91" xfId="12" applyFont="1" applyBorder="1" applyAlignment="1">
      <alignment horizontal="center" vertical="center"/>
    </xf>
    <xf numFmtId="0" fontId="16" fillId="0" borderId="0" xfId="4" quotePrefix="1" applyFont="1" applyAlignment="1">
      <alignment horizontal="center" vertical="center"/>
    </xf>
    <xf numFmtId="0" fontId="17" fillId="0" borderId="52" xfId="4" applyFont="1" applyBorder="1" applyAlignment="1">
      <alignment horizontal="center" vertical="center"/>
    </xf>
    <xf numFmtId="0" fontId="17" fillId="0" borderId="55" xfId="4" applyFont="1" applyBorder="1" applyAlignment="1">
      <alignment horizontal="center" vertical="center"/>
    </xf>
    <xf numFmtId="166" fontId="16" fillId="0" borderId="0" xfId="24" applyNumberFormat="1" applyFont="1" applyAlignment="1">
      <alignment horizontal="right"/>
    </xf>
    <xf numFmtId="166" fontId="20" fillId="0" borderId="0" xfId="24" applyNumberFormat="1" applyFont="1" applyAlignment="1">
      <alignment horizontal="right"/>
    </xf>
    <xf numFmtId="0" fontId="58" fillId="9" borderId="0" xfId="24" applyFont="1" applyFill="1" applyAlignment="1">
      <alignment horizontal="center" vertical="center"/>
    </xf>
    <xf numFmtId="0" fontId="9" fillId="0" borderId="0" xfId="24" applyFont="1" applyAlignment="1">
      <alignment horizontal="left"/>
    </xf>
    <xf numFmtId="1" fontId="17" fillId="0" borderId="43" xfId="24" applyNumberFormat="1" applyFont="1" applyBorder="1" applyAlignment="1">
      <alignment horizontal="center" vertical="center"/>
    </xf>
    <xf numFmtId="1" fontId="17" fillId="0" borderId="86" xfId="24" applyNumberFormat="1" applyFont="1" applyBorder="1" applyAlignment="1">
      <alignment horizontal="center" vertical="center"/>
    </xf>
    <xf numFmtId="0" fontId="16" fillId="0" borderId="0" xfId="24" applyFont="1" applyAlignment="1">
      <alignment horizontal="center" vertical="center"/>
    </xf>
    <xf numFmtId="0" fontId="16" fillId="0" borderId="0" xfId="24" applyFont="1" applyAlignment="1">
      <alignment horizontal="center"/>
    </xf>
    <xf numFmtId="0" fontId="3" fillId="0" borderId="0" xfId="24" applyAlignment="1"/>
    <xf numFmtId="0" fontId="17" fillId="0" borderId="52" xfId="24" applyFont="1" applyBorder="1" applyAlignment="1">
      <alignment horizontal="center"/>
    </xf>
    <xf numFmtId="0" fontId="17" fillId="0" borderId="54" xfId="24" applyFont="1" applyBorder="1" applyAlignment="1">
      <alignment horizontal="center"/>
    </xf>
    <xf numFmtId="0" fontId="17" fillId="0" borderId="55" xfId="24" applyFont="1" applyBorder="1" applyAlignment="1">
      <alignment horizontal="center"/>
    </xf>
    <xf numFmtId="0" fontId="10" fillId="0" borderId="38" xfId="4" applyFont="1" applyBorder="1" applyAlignment="1">
      <alignment horizontal="left" vertical="center"/>
    </xf>
    <xf numFmtId="0" fontId="13" fillId="0" borderId="0" xfId="4" applyFont="1" applyFill="1" applyBorder="1" applyAlignment="1">
      <alignment horizontal="center" vertical="center"/>
    </xf>
    <xf numFmtId="0" fontId="13" fillId="0" borderId="0" xfId="4" applyFont="1" applyAlignment="1">
      <alignment horizontal="center"/>
    </xf>
    <xf numFmtId="1" fontId="17" fillId="0" borderId="5" xfId="4" applyNumberFormat="1" applyFont="1" applyBorder="1" applyAlignment="1">
      <alignment horizontal="center" vertical="center" wrapText="1"/>
    </xf>
    <xf numFmtId="1" fontId="17" fillId="0" borderId="58" xfId="4" applyNumberFormat="1" applyFont="1" applyBorder="1" applyAlignment="1">
      <alignment horizontal="center" vertical="center" wrapText="1"/>
    </xf>
    <xf numFmtId="0" fontId="45" fillId="0" borderId="77" xfId="4" applyFont="1" applyFill="1" applyBorder="1" applyAlignment="1">
      <alignment horizontal="center" vertical="center" wrapText="1"/>
    </xf>
    <xf numFmtId="0" fontId="45" fillId="0" borderId="26" xfId="4" applyFont="1" applyFill="1" applyBorder="1" applyAlignment="1">
      <alignment horizontal="center" vertical="center" wrapText="1"/>
    </xf>
    <xf numFmtId="0" fontId="17" fillId="0" borderId="77" xfId="4" applyFont="1" applyFill="1" applyBorder="1" applyAlignment="1">
      <alignment horizontal="center" vertical="center" wrapText="1"/>
    </xf>
    <xf numFmtId="0" fontId="17" fillId="0" borderId="26" xfId="4" applyFont="1" applyFill="1" applyBorder="1" applyAlignment="1">
      <alignment horizontal="center" vertical="center" wrapText="1"/>
    </xf>
    <xf numFmtId="0" fontId="45" fillId="0" borderId="78" xfId="4" applyFont="1" applyFill="1" applyBorder="1" applyAlignment="1">
      <alignment horizontal="center" vertical="center" wrapText="1"/>
    </xf>
    <xf numFmtId="0" fontId="45" fillId="0" borderId="73" xfId="4" applyFont="1" applyFill="1" applyBorder="1" applyAlignment="1">
      <alignment horizontal="center" vertical="center" wrapText="1"/>
    </xf>
    <xf numFmtId="0" fontId="16" fillId="0" borderId="0" xfId="9" applyFont="1" applyAlignment="1">
      <alignment horizontal="center" vertical="center" wrapText="1"/>
    </xf>
    <xf numFmtId="1" fontId="57" fillId="13" borderId="0" xfId="0" applyNumberFormat="1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87" fillId="0" borderId="0" xfId="0" applyFont="1" applyAlignment="1">
      <alignment horizontal="left"/>
    </xf>
    <xf numFmtId="0" fontId="20" fillId="0" borderId="0" xfId="24" applyFont="1" applyAlignment="1">
      <alignment horizontal="right"/>
    </xf>
    <xf numFmtId="0" fontId="20" fillId="0" borderId="0" xfId="0" applyFont="1" applyAlignment="1">
      <alignment horizontal="right"/>
    </xf>
    <xf numFmtId="0" fontId="16" fillId="0" borderId="0" xfId="0" applyFont="1" applyAlignment="1">
      <alignment horizontal="center"/>
    </xf>
    <xf numFmtId="1" fontId="45" fillId="0" borderId="43" xfId="0" applyNumberFormat="1" applyFont="1" applyBorder="1" applyAlignment="1">
      <alignment horizontal="center" vertical="center"/>
    </xf>
    <xf numFmtId="1" fontId="45" fillId="0" borderId="86" xfId="0" applyNumberFormat="1" applyFont="1" applyBorder="1" applyAlignment="1">
      <alignment horizontal="center" vertical="center"/>
    </xf>
    <xf numFmtId="0" fontId="58" fillId="9" borderId="0" xfId="0" applyFont="1" applyFill="1" applyAlignment="1">
      <alignment horizontal="center" vertical="center" wrapText="1"/>
    </xf>
    <xf numFmtId="0" fontId="13" fillId="0" borderId="118" xfId="9" applyFont="1" applyBorder="1" applyAlignment="1">
      <alignment horizontal="center" vertical="center" wrapText="1"/>
    </xf>
    <xf numFmtId="0" fontId="35" fillId="7" borderId="15" xfId="0" applyFont="1" applyFill="1" applyBorder="1" applyAlignment="1">
      <alignment horizontal="center" vertical="center" textRotation="90"/>
    </xf>
    <xf numFmtId="0" fontId="35" fillId="7" borderId="17" xfId="0" applyFont="1" applyFill="1" applyBorder="1" applyAlignment="1">
      <alignment horizontal="center" vertical="center" textRotation="90"/>
    </xf>
    <xf numFmtId="0" fontId="35" fillId="7" borderId="26" xfId="0" applyFont="1" applyFill="1" applyBorder="1" applyAlignment="1">
      <alignment horizontal="center" vertical="center" textRotation="90"/>
    </xf>
    <xf numFmtId="0" fontId="51" fillId="7" borderId="15" xfId="0" applyFont="1" applyFill="1" applyBorder="1" applyAlignment="1">
      <alignment horizontal="center" vertical="center"/>
    </xf>
    <xf numFmtId="0" fontId="51" fillId="7" borderId="17" xfId="0" applyFont="1" applyFill="1" applyBorder="1" applyAlignment="1">
      <alignment horizontal="center" vertical="center"/>
    </xf>
    <xf numFmtId="0" fontId="51" fillId="7" borderId="26" xfId="0" applyFont="1" applyFill="1" applyBorder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/>
    </xf>
    <xf numFmtId="0" fontId="12" fillId="8" borderId="26" xfId="0" applyFont="1" applyFill="1" applyBorder="1" applyAlignment="1">
      <alignment horizontal="center" vertical="center"/>
    </xf>
    <xf numFmtId="0" fontId="51" fillId="0" borderId="15" xfId="0" applyFont="1" applyFill="1" applyBorder="1" applyAlignment="1">
      <alignment horizontal="center" vertical="center"/>
    </xf>
    <xf numFmtId="0" fontId="51" fillId="0" borderId="17" xfId="0" applyFont="1" applyFill="1" applyBorder="1" applyAlignment="1">
      <alignment horizontal="center" vertical="center"/>
    </xf>
    <xf numFmtId="0" fontId="53" fillId="0" borderId="17" xfId="0" applyFont="1" applyFill="1" applyBorder="1" applyAlignment="1">
      <alignment horizontal="center" vertical="center"/>
    </xf>
    <xf numFmtId="0" fontId="53" fillId="0" borderId="26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5" fillId="0" borderId="26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14" fillId="0" borderId="26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51" fillId="8" borderId="15" xfId="0" applyFont="1" applyFill="1" applyBorder="1" applyAlignment="1">
      <alignment horizontal="center" vertical="center"/>
    </xf>
    <xf numFmtId="0" fontId="51" fillId="8" borderId="17" xfId="0" applyFont="1" applyFill="1" applyBorder="1" applyAlignment="1">
      <alignment horizontal="center" vertical="center"/>
    </xf>
    <xf numFmtId="0" fontId="53" fillId="8" borderId="26" xfId="0" applyFont="1" applyFill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14" fillId="6" borderId="26" xfId="0" applyFont="1" applyFill="1" applyBorder="1" applyAlignment="1">
      <alignment horizontal="center" vertical="center"/>
    </xf>
    <xf numFmtId="0" fontId="14" fillId="6" borderId="15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 wrapText="1"/>
    </xf>
    <xf numFmtId="0" fontId="20" fillId="6" borderId="15" xfId="0" applyFont="1" applyFill="1" applyBorder="1" applyAlignment="1">
      <alignment horizontal="center" vertical="center" textRotation="90"/>
    </xf>
    <xf numFmtId="0" fontId="20" fillId="6" borderId="17" xfId="0" applyFont="1" applyFill="1" applyBorder="1" applyAlignment="1">
      <alignment horizontal="center" vertical="center" textRotation="90"/>
    </xf>
    <xf numFmtId="0" fontId="20" fillId="6" borderId="26" xfId="0" applyFont="1" applyFill="1" applyBorder="1" applyAlignment="1">
      <alignment horizontal="center" vertical="center" textRotation="90"/>
    </xf>
    <xf numFmtId="0" fontId="35" fillId="0" borderId="15" xfId="0" applyFont="1" applyFill="1" applyBorder="1" applyAlignment="1">
      <alignment horizontal="center" vertical="center" textRotation="90"/>
    </xf>
    <xf numFmtId="0" fontId="35" fillId="0" borderId="17" xfId="0" applyFont="1" applyFill="1" applyBorder="1" applyAlignment="1">
      <alignment horizontal="center" vertical="center" textRotation="90"/>
    </xf>
    <xf numFmtId="0" fontId="35" fillId="0" borderId="26" xfId="0" applyFont="1" applyFill="1" applyBorder="1" applyAlignment="1">
      <alignment horizontal="center" vertical="center" textRotation="90"/>
    </xf>
    <xf numFmtId="0" fontId="51" fillId="6" borderId="15" xfId="0" applyFont="1" applyFill="1" applyBorder="1" applyAlignment="1">
      <alignment horizontal="center" vertical="center"/>
    </xf>
    <xf numFmtId="0" fontId="51" fillId="6" borderId="17" xfId="0" applyFont="1" applyFill="1" applyBorder="1" applyAlignment="1">
      <alignment horizontal="center" vertical="center"/>
    </xf>
    <xf numFmtId="0" fontId="51" fillId="6" borderId="26" xfId="0" applyFont="1" applyFill="1" applyBorder="1" applyAlignment="1">
      <alignment horizontal="center" vertical="center"/>
    </xf>
    <xf numFmtId="0" fontId="51" fillId="0" borderId="65" xfId="0" applyFont="1" applyFill="1" applyBorder="1" applyAlignment="1">
      <alignment horizontal="center" vertical="center"/>
    </xf>
    <xf numFmtId="0" fontId="53" fillId="0" borderId="74" xfId="0" applyFont="1" applyFill="1" applyBorder="1" applyAlignment="1">
      <alignment horizontal="center" vertical="center"/>
    </xf>
    <xf numFmtId="0" fontId="87" fillId="0" borderId="0" xfId="0" applyFont="1" applyAlignment="1">
      <alignment horizontal="left" wrapText="1"/>
    </xf>
    <xf numFmtId="0" fontId="17" fillId="0" borderId="0" xfId="0" applyFont="1" applyAlignment="1">
      <alignment horizontal="left"/>
    </xf>
    <xf numFmtId="0" fontId="98" fillId="9" borderId="0" xfId="4" applyFont="1" applyFill="1" applyAlignment="1">
      <alignment horizontal="center" vertical="center"/>
    </xf>
    <xf numFmtId="0" fontId="11" fillId="16" borderId="3" xfId="4" applyFont="1" applyFill="1" applyBorder="1" applyAlignment="1">
      <alignment horizontal="center" vertical="center"/>
    </xf>
    <xf numFmtId="0" fontId="10" fillId="17" borderId="3" xfId="4" applyFont="1" applyFill="1" applyBorder="1" applyAlignment="1">
      <alignment horizontal="center" vertical="center"/>
    </xf>
    <xf numFmtId="0" fontId="16" fillId="19" borderId="2" xfId="4" applyFont="1" applyFill="1" applyBorder="1" applyAlignment="1">
      <alignment horizontal="center" vertical="center" wrapText="1"/>
    </xf>
    <xf numFmtId="0" fontId="16" fillId="19" borderId="130" xfId="4" applyFont="1" applyFill="1" applyBorder="1" applyAlignment="1">
      <alignment horizontal="center" vertical="center" wrapText="1"/>
    </xf>
    <xf numFmtId="0" fontId="16" fillId="19" borderId="76" xfId="4" applyFont="1" applyFill="1" applyBorder="1" applyAlignment="1">
      <alignment horizontal="center" vertical="center" wrapText="1"/>
    </xf>
    <xf numFmtId="0" fontId="10" fillId="17" borderId="3" xfId="4" quotePrefix="1" applyFont="1" applyFill="1" applyBorder="1" applyAlignment="1">
      <alignment horizontal="center" vertical="center"/>
    </xf>
    <xf numFmtId="0" fontId="11" fillId="16" borderId="20" xfId="4" applyFont="1" applyFill="1" applyBorder="1" applyAlignment="1">
      <alignment horizontal="center"/>
    </xf>
    <xf numFmtId="0" fontId="11" fillId="16" borderId="21" xfId="4" applyFont="1" applyFill="1" applyBorder="1" applyAlignment="1">
      <alignment horizontal="center"/>
    </xf>
    <xf numFmtId="0" fontId="11" fillId="17" borderId="21" xfId="4" applyFont="1" applyFill="1" applyBorder="1" applyAlignment="1">
      <alignment horizontal="center"/>
    </xf>
    <xf numFmtId="0" fontId="11" fillId="19" borderId="21" xfId="4" applyFont="1" applyFill="1" applyBorder="1" applyAlignment="1">
      <alignment horizontal="center"/>
    </xf>
    <xf numFmtId="0" fontId="11" fillId="17" borderId="53" xfId="4" applyFont="1" applyFill="1" applyBorder="1" applyAlignment="1">
      <alignment horizontal="center" vertical="center"/>
    </xf>
    <xf numFmtId="0" fontId="11" fillId="17" borderId="54" xfId="4" applyFont="1" applyFill="1" applyBorder="1" applyAlignment="1">
      <alignment horizontal="center" vertical="center"/>
    </xf>
    <xf numFmtId="0" fontId="11" fillId="17" borderId="55" xfId="4" applyFont="1" applyFill="1" applyBorder="1" applyAlignment="1">
      <alignment horizontal="center" vertical="center"/>
    </xf>
    <xf numFmtId="0" fontId="10" fillId="0" borderId="0" xfId="4" applyFont="1" applyAlignment="1">
      <alignment horizontal="center"/>
    </xf>
  </cellXfs>
  <cellStyles count="25">
    <cellStyle name="Euro" xfId="1"/>
    <cellStyle name="Normal" xfId="0" builtinId="0"/>
    <cellStyle name="Normal 2" xfId="2"/>
    <cellStyle name="Normal 3" xfId="3"/>
    <cellStyle name="Normal 4" xfId="4"/>
    <cellStyle name="Normal 5" xfId="23"/>
    <cellStyle name="Normal 5 2" xfId="24"/>
    <cellStyle name="Normal_cnu96 (2)" xfId="5"/>
    <cellStyle name="Normal_correctifs result08_1sess" xfId="6"/>
    <cellStyle name="Normal_cp 0404" xfId="7"/>
    <cellStyle name="Normal_cp 0404 2" xfId="8"/>
    <cellStyle name="Normal_memento07fic01_tot+droit" xfId="9"/>
    <cellStyle name="Normal_nv tabIId" xfId="10"/>
    <cellStyle name="Normal_prnommes_correctifs result08_1sess" xfId="11"/>
    <cellStyle name="Normal_qualifsectsexe" xfId="12"/>
    <cellStyle name="Normal_RESULT00" xfId="13"/>
    <cellStyle name="Normal_RESULT06_1sess" xfId="14"/>
    <cellStyle name="Normal_RESULT1+2session" xfId="15"/>
    <cellStyle name="Normal_RESULT98" xfId="16"/>
    <cellStyle name="pge" xfId="17"/>
    <cellStyle name="Pourcentage" xfId="18" builtinId="5"/>
    <cellStyle name="Pourcentage 2" xfId="19"/>
    <cellStyle name="tab4" xfId="20"/>
    <cellStyle name="total" xfId="21"/>
    <cellStyle name="toto" xfId="2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DDDDD"/>
      <color rgb="FFFFFFCC"/>
      <color rgb="FFFFFF99"/>
      <color rgb="FF00B050"/>
      <color rgb="FF00FFFF"/>
      <color rgb="FFFFFF66"/>
      <color rgb="FFFFCCFF"/>
      <color rgb="FF0000FF"/>
      <color rgb="FF00B44F"/>
      <color rgb="FFFF99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0.xml"/><Relationship Id="rId68" Type="http://schemas.openxmlformats.org/officeDocument/2006/relationships/externalLink" Target="externalLinks/externalLink1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externalLink" Target="externalLinks/externalLink13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externalLink" Target="externalLinks/externalLink1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externalLink" Target="externalLinks/externalLink17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409575</xdr:colOff>
      <xdr:row>0</xdr:row>
      <xdr:rowOff>200025</xdr:rowOff>
    </xdr:from>
    <xdr:to>
      <xdr:col>5</xdr:col>
      <xdr:colOff>295275</xdr:colOff>
      <xdr:row>11</xdr:row>
      <xdr:rowOff>76200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66975" y="200025"/>
          <a:ext cx="1257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457200</xdr:colOff>
      <xdr:row>1</xdr:row>
      <xdr:rowOff>1</xdr:rowOff>
    </xdr:from>
    <xdr:to>
      <xdr:col>5</xdr:col>
      <xdr:colOff>355600</xdr:colOff>
      <xdr:row>12</xdr:row>
      <xdr:rowOff>38101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14600" y="228601"/>
          <a:ext cx="1270000" cy="185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4314825</xdr:colOff>
      <xdr:row>6</xdr:row>
      <xdr:rowOff>76200</xdr:rowOff>
    </xdr:from>
    <xdr:to>
      <xdr:col>1</xdr:col>
      <xdr:colOff>4514850</xdr:colOff>
      <xdr:row>6</xdr:row>
      <xdr:rowOff>76200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991100" y="125730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4314825</xdr:colOff>
      <xdr:row>6</xdr:row>
      <xdr:rowOff>76200</xdr:rowOff>
    </xdr:from>
    <xdr:to>
      <xdr:col>1</xdr:col>
      <xdr:colOff>4514850</xdr:colOff>
      <xdr:row>6</xdr:row>
      <xdr:rowOff>76200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4991100" y="125730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355601</xdr:colOff>
      <xdr:row>0</xdr:row>
      <xdr:rowOff>215901</xdr:rowOff>
    </xdr:from>
    <xdr:to>
      <xdr:col>5</xdr:col>
      <xdr:colOff>330200</xdr:colOff>
      <xdr:row>12</xdr:row>
      <xdr:rowOff>38101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13001" y="215901"/>
          <a:ext cx="1346199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1</xdr:row>
      <xdr:rowOff>50799</xdr:rowOff>
    </xdr:from>
    <xdr:to>
      <xdr:col>5</xdr:col>
      <xdr:colOff>304800</xdr:colOff>
      <xdr:row>12</xdr:row>
      <xdr:rowOff>38100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0" y="279399"/>
          <a:ext cx="1257300" cy="18034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0</xdr:rowOff>
    </xdr:from>
    <xdr:to>
      <xdr:col>0</xdr:col>
      <xdr:colOff>0</xdr:colOff>
      <xdr:row>16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3952875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0</xdr:col>
      <xdr:colOff>0</xdr:colOff>
      <xdr:row>15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3952875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0" y="4552950"/>
          <a:ext cx="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" wrap="square" lIns="27432" tIns="22860" rIns="27432" bIns="22860" anchor="ctr" upright="1"/>
        <a:lstStyle/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fr-FR" sz="1000" b="1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1</xdr:row>
      <xdr:rowOff>133350</xdr:rowOff>
    </xdr:from>
    <xdr:to>
      <xdr:col>5</xdr:col>
      <xdr:colOff>266700</xdr:colOff>
      <xdr:row>12</xdr:row>
      <xdr:rowOff>38100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7450" y="361950"/>
          <a:ext cx="123825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333375</xdr:rowOff>
    </xdr:from>
    <xdr:to>
      <xdr:col>0</xdr:col>
      <xdr:colOff>0</xdr:colOff>
      <xdr:row>10</xdr:row>
      <xdr:rowOff>133350</xdr:rowOff>
    </xdr:to>
    <xdr:sp macro="" textlink="">
      <xdr:nvSpPr>
        <xdr:cNvPr id="8251" name="Texte 1"/>
        <xdr:cNvSpPr txBox="1">
          <a:spLocks noChangeArrowheads="1"/>
        </xdr:cNvSpPr>
      </xdr:nvSpPr>
      <xdr:spPr bwMode="auto">
        <a:xfrm>
          <a:off x="0" y="1990725"/>
          <a:ext cx="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400051</xdr:colOff>
      <xdr:row>1</xdr:row>
      <xdr:rowOff>85725</xdr:rowOff>
    </xdr:from>
    <xdr:to>
      <xdr:col>5</xdr:col>
      <xdr:colOff>266701</xdr:colOff>
      <xdr:row>11</xdr:row>
      <xdr:rowOff>123825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57451" y="314325"/>
          <a:ext cx="12382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371475</xdr:colOff>
      <xdr:row>1</xdr:row>
      <xdr:rowOff>9525</xdr:rowOff>
    </xdr:from>
    <xdr:to>
      <xdr:col>5</xdr:col>
      <xdr:colOff>342900</xdr:colOff>
      <xdr:row>12</xdr:row>
      <xdr:rowOff>41275</xdr:rowOff>
    </xdr:to>
    <xdr:pic>
      <xdr:nvPicPr>
        <xdr:cNvPr id="5" name="Image 4" descr="J:\@MURIEL\DIVERS\logo MESR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8875" y="238125"/>
          <a:ext cx="134302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4314825</xdr:colOff>
      <xdr:row>7</xdr:row>
      <xdr:rowOff>76200</xdr:rowOff>
    </xdr:from>
    <xdr:to>
      <xdr:col>1</xdr:col>
      <xdr:colOff>4514850</xdr:colOff>
      <xdr:row>7</xdr:row>
      <xdr:rowOff>76200</xdr:rowOff>
    </xdr:to>
    <xdr:sp macro="" textlink="">
      <xdr:nvSpPr>
        <xdr:cNvPr id="12405" name="Line 1"/>
        <xdr:cNvSpPr>
          <a:spLocks noChangeShapeType="1"/>
        </xdr:cNvSpPr>
      </xdr:nvSpPr>
      <xdr:spPr bwMode="auto">
        <a:xfrm>
          <a:off x="4800600" y="16573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</xdr:col>
      <xdr:colOff>4314825</xdr:colOff>
      <xdr:row>7</xdr:row>
      <xdr:rowOff>76200</xdr:rowOff>
    </xdr:from>
    <xdr:to>
      <xdr:col>1</xdr:col>
      <xdr:colOff>4514850</xdr:colOff>
      <xdr:row>7</xdr:row>
      <xdr:rowOff>76200</xdr:rowOff>
    </xdr:to>
    <xdr:sp macro="" textlink="">
      <xdr:nvSpPr>
        <xdr:cNvPr id="12406" name="Line 1"/>
        <xdr:cNvSpPr>
          <a:spLocks noChangeShapeType="1"/>
        </xdr:cNvSpPr>
      </xdr:nvSpPr>
      <xdr:spPr bwMode="auto">
        <a:xfrm>
          <a:off x="4800600" y="165735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vail%20sur%20qualification\2013\qualif%20bilan%20promo%202013_corrig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cr13\fidis2013\fidis_au_5_nov_201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udes-Statistiques\recrutement\2009\RESULT09_1sess_v6%20Version%20Couleu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RR\DPESRA3\EBENE07\stats98\DEMO98\GDIS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CRUT\recr09\recrut09\travail%20sur%20candidatures%20synchro\candidatures_recevables_ss_art_51et46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Feuil1"/>
      <sheetName val="fidis_au_5_nov_2013"/>
      <sheetName val="Feuil2"/>
      <sheetName val="TAB S-1 sync et fil"/>
      <sheetName val="TAB S-2 sync"/>
      <sheetName val="TAB S-3 fil eau"/>
      <sheetName val="TAB III-b pr 46-3"/>
      <sheetName val="Feuil3"/>
      <sheetName val="Feuil4"/>
    </sheetNames>
    <sheetDataSet>
      <sheetData sheetId="0"/>
      <sheetData sheetId="1"/>
      <sheetData sheetId="2"/>
      <sheetData sheetId="3"/>
      <sheetData sheetId="4">
        <row r="10">
          <cell r="C10">
            <v>145</v>
          </cell>
        </row>
        <row r="11">
          <cell r="F11">
            <v>0</v>
          </cell>
        </row>
        <row r="13">
          <cell r="B13">
            <v>0</v>
          </cell>
          <cell r="F13">
            <v>0</v>
          </cell>
          <cell r="G13">
            <v>0</v>
          </cell>
        </row>
        <row r="18">
          <cell r="B18">
            <v>0</v>
          </cell>
          <cell r="F18">
            <v>0</v>
          </cell>
          <cell r="G18">
            <v>0</v>
          </cell>
        </row>
      </sheetData>
      <sheetData sheetId="5">
        <row r="10">
          <cell r="C10">
            <v>22</v>
          </cell>
        </row>
        <row r="11">
          <cell r="F11">
            <v>0</v>
          </cell>
        </row>
        <row r="13">
          <cell r="B13">
            <v>0</v>
          </cell>
          <cell r="F13">
            <v>0</v>
          </cell>
          <cell r="G13">
            <v>0</v>
          </cell>
        </row>
        <row r="18">
          <cell r="B18">
            <v>0</v>
          </cell>
          <cell r="F18">
            <v>0</v>
          </cell>
          <cell r="G18">
            <v>0</v>
          </cell>
        </row>
      </sheetData>
      <sheetData sheetId="6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TAB S 1"/>
      <sheetName val="TAB S 2"/>
      <sheetName val="TAB S 3"/>
      <sheetName val="TAB S 4"/>
      <sheetName val="PG_D&amp;M"/>
      <sheetName val="TAB I det mut "/>
      <sheetName val="TAB I-a mcf 26-I-1"/>
      <sheetName val="TAB I-b pr 46-1"/>
      <sheetName val="TAB I-c pr 51 "/>
      <sheetName val="TAB I-d pr geo"/>
      <sheetName val="TAB I-e mcf geo"/>
      <sheetName val="TAB I-f pr+mcf geo"/>
      <sheetName val="TAB I-g solde mut"/>
      <sheetName val="PG_REC"/>
      <sheetName val="TAB II taux couv global"/>
      <sheetName val="TAB II-a taux couv sections "/>
      <sheetName val="TAB II-b cand pr mcf"/>
      <sheetName val="TAB II-c taux couv qualif"/>
      <sheetName val="TAB II-d ratios qualif postes"/>
      <sheetName val="PG_REC_PR"/>
      <sheetName val="TAB III-a pr 46-1"/>
      <sheetName val="TAB III-b pr 46-3"/>
      <sheetName val="TAB III-c pr 46-4"/>
      <sheetName val="TAB III-d pr mcf geo"/>
      <sheetName val="TAB III-e pr agreg ext"/>
      <sheetName val="TAB III-f pr sexe"/>
      <sheetName val="TAB III-g pr age"/>
      <sheetName val="TAB III-h pr mcf anc"/>
      <sheetName val="TAB III-i pr bilan qualif"/>
      <sheetName val="TAB III-j pr qualif sexe"/>
      <sheetName val="TAB III-k pr qualif nommé"/>
      <sheetName val="TAB III-l pr réussite qualif 09"/>
      <sheetName val="PG_REC_MCF"/>
      <sheetName val="TAB IV-a mcf 26-I-1"/>
      <sheetName val="TAB IV-b mcf 26-I-2"/>
      <sheetName val="TAB IV-c mcf sexe"/>
      <sheetName val="TAB IV-d mcf age"/>
      <sheetName val="TAB IV-e mcf bilan qualif"/>
      <sheetName val="TAB IV-f mcf qualif sexe "/>
      <sheetName val="TAB IV-g mcf qualif nommé"/>
      <sheetName val="TAB IV-h mcf réussite qualif n"/>
      <sheetName val="PG_REC_NON_POURVUS"/>
      <sheetName val="TAB V bilan non pourvus"/>
      <sheetName val="TAB V-a mcf 26-I-1"/>
      <sheetName val="TAB V-b mcf 26-I-2"/>
      <sheetName val="TAB V-c pr 46-1"/>
      <sheetName val="TAB V-c pr 46-4 et 51"/>
      <sheetName val="PG_TABLES"/>
      <sheetName val="tabgrp"/>
      <sheetName val="fiche technique"/>
      <sheetName val="Feui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8">
          <cell r="A8" t="str">
            <v>Source: GALAXIE/ANTARES-ANTEE, DGRH A1-1 &amp; DGRH A2, septembre 2009</v>
          </cell>
        </row>
        <row r="16">
          <cell r="A16" t="str">
            <v>(session synchronisée - ANTEE)</v>
          </cell>
        </row>
      </sheetData>
      <sheetData sheetId="5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Feuil3"/>
      <sheetName val="Feuil1"/>
      <sheetName val="candidatures_recevables_ss_art_"/>
      <sheetName val="Feuil2"/>
      <sheetName val="Feuil11"/>
      <sheetName val="Feuil11 (2)"/>
      <sheetName val="Feuil11 (3)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nalisé 1">
      <a:majorFont>
        <a:latin typeface="Times New Roman"/>
        <a:ea typeface=""/>
        <a:cs typeface=""/>
      </a:majorFont>
      <a:minorFont>
        <a:latin typeface="Times New Roman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1">
    <tabColor rgb="FF00B050"/>
  </sheetPr>
  <dimension ref="A1:I795"/>
  <sheetViews>
    <sheetView tabSelected="1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9">
      <c r="B17" s="273"/>
      <c r="C17" s="273"/>
      <c r="D17" s="273"/>
    </row>
    <row r="18" spans="1:9">
      <c r="B18" s="273"/>
      <c r="C18" s="273"/>
      <c r="D18" s="273"/>
    </row>
    <row r="19" spans="1:9">
      <c r="B19" s="273"/>
      <c r="C19" s="273"/>
      <c r="D19" s="273"/>
    </row>
    <row r="20" spans="1:9">
      <c r="B20" s="273"/>
      <c r="C20" s="273"/>
      <c r="D20" s="273"/>
    </row>
    <row r="21" spans="1:9">
      <c r="B21" s="273"/>
      <c r="C21" s="273"/>
      <c r="D21" s="273"/>
    </row>
    <row r="22" spans="1:9">
      <c r="B22" s="273"/>
      <c r="C22" s="273"/>
      <c r="D22" s="273"/>
    </row>
    <row r="23" spans="1:9" ht="13.8" thickBot="1">
      <c r="B23" s="273"/>
      <c r="C23" s="273"/>
      <c r="D23" s="273"/>
    </row>
    <row r="24" spans="1:9" ht="20.25" customHeight="1" thickTop="1">
      <c r="B24" s="1993" t="s">
        <v>573</v>
      </c>
      <c r="C24" s="1994"/>
      <c r="D24" s="1994"/>
      <c r="E24" s="1995"/>
      <c r="F24" s="1995"/>
      <c r="G24" s="1995"/>
      <c r="H24" s="1995"/>
      <c r="I24" s="1996"/>
    </row>
    <row r="25" spans="1:9" ht="20.25" customHeight="1" thickBot="1">
      <c r="B25" s="1997" t="s">
        <v>544</v>
      </c>
      <c r="C25" s="1998"/>
      <c r="D25" s="1998"/>
      <c r="E25" s="1999"/>
      <c r="F25" s="1999"/>
      <c r="G25" s="1999"/>
      <c r="H25" s="1999"/>
      <c r="I25" s="2000"/>
    </row>
    <row r="26" spans="1:9" ht="13.8" thickTop="1">
      <c r="B26" s="274"/>
      <c r="C26" s="274"/>
      <c r="D26" s="274"/>
    </row>
    <row r="27" spans="1:9" ht="14.25" customHeight="1">
      <c r="B27" s="274"/>
      <c r="C27" s="274"/>
      <c r="D27" s="274"/>
    </row>
    <row r="28" spans="1:9" ht="21" customHeight="1">
      <c r="B28" s="273"/>
      <c r="C28" s="273"/>
      <c r="D28" s="2003" t="s">
        <v>977</v>
      </c>
      <c r="E28" s="2003"/>
      <c r="F28" s="2003"/>
    </row>
    <row r="29" spans="1:9" ht="19.5" customHeight="1">
      <c r="A29" s="1919"/>
      <c r="B29" s="1881"/>
      <c r="C29" s="1882"/>
      <c r="D29" s="1882"/>
      <c r="E29" s="1919"/>
      <c r="F29" s="1919"/>
      <c r="G29" s="1857"/>
      <c r="H29" s="1857"/>
      <c r="I29" s="1857"/>
    </row>
    <row r="30" spans="1:9">
      <c r="B30" s="273"/>
      <c r="C30" s="273"/>
      <c r="D30" s="273"/>
    </row>
    <row r="31" spans="1:9">
      <c r="B31" s="273"/>
      <c r="C31" s="273"/>
      <c r="D31" s="273"/>
    </row>
    <row r="32" spans="1:9" s="280" customFormat="1" ht="15.6">
      <c r="B32" s="1006" t="s">
        <v>940</v>
      </c>
      <c r="C32" s="275"/>
      <c r="D32" s="275"/>
      <c r="E32" s="1007"/>
      <c r="F32" s="275"/>
      <c r="G32" s="275"/>
      <c r="H32" s="275"/>
      <c r="I32" s="275"/>
    </row>
    <row r="33" spans="2:9">
      <c r="B33" s="1001"/>
      <c r="C33" s="1002"/>
      <c r="D33" s="1001"/>
      <c r="E33" s="1003"/>
      <c r="F33" s="1003"/>
      <c r="G33" s="1003"/>
      <c r="H33" s="1003"/>
      <c r="I33" s="1003"/>
    </row>
    <row r="34" spans="2:9">
      <c r="B34" s="1001"/>
      <c r="C34" s="1004"/>
      <c r="D34" s="1001"/>
      <c r="E34" s="1003"/>
      <c r="F34" s="1003"/>
      <c r="G34" s="1003"/>
      <c r="H34" s="1003"/>
      <c r="I34" s="1003"/>
    </row>
    <row r="35" spans="2:9">
      <c r="B35" s="273"/>
      <c r="C35" s="273"/>
      <c r="D35" s="273"/>
    </row>
    <row r="36" spans="2:9">
      <c r="B36" s="273"/>
      <c r="C36" s="273"/>
      <c r="D36" s="273"/>
    </row>
    <row r="37" spans="2:9">
      <c r="B37" s="273"/>
      <c r="C37" s="273"/>
      <c r="D37" s="273"/>
    </row>
    <row r="38" spans="2:9">
      <c r="B38" s="273"/>
      <c r="C38" s="273"/>
      <c r="D38" s="273"/>
    </row>
    <row r="39" spans="2:9">
      <c r="B39" s="273"/>
      <c r="C39" s="273"/>
      <c r="D39" s="273"/>
    </row>
    <row r="40" spans="2:9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</row>
    <row r="43" spans="2:9">
      <c r="B43" s="273"/>
      <c r="C43" s="273"/>
      <c r="D43" s="273"/>
    </row>
    <row r="44" spans="2:9">
      <c r="B44" s="273"/>
      <c r="C44" s="273"/>
      <c r="D44" s="273"/>
      <c r="F44" s="2001"/>
      <c r="G44" s="2001"/>
      <c r="H44" s="2001"/>
    </row>
    <row r="45" spans="2:9" ht="19.5" customHeight="1">
      <c r="B45" s="1992" t="s">
        <v>324</v>
      </c>
      <c r="C45" s="1992"/>
      <c r="D45" s="1992"/>
      <c r="E45" s="1992"/>
      <c r="F45" s="1992"/>
      <c r="G45" s="1992"/>
      <c r="H45" s="1992"/>
      <c r="I45" s="1992"/>
    </row>
    <row r="46" spans="2:9" ht="19.5" customHeight="1">
      <c r="B46" s="2002" t="s">
        <v>325</v>
      </c>
      <c r="C46" s="2002"/>
      <c r="D46" s="2002"/>
      <c r="E46" s="2002"/>
      <c r="F46" s="2002"/>
      <c r="G46" s="2002"/>
      <c r="H46" s="2002"/>
      <c r="I46" s="2002"/>
    </row>
    <row r="47" spans="2:9" ht="19.5" customHeight="1">
      <c r="B47" s="1992" t="s">
        <v>326</v>
      </c>
      <c r="C47" s="1992"/>
      <c r="D47" s="1992"/>
      <c r="E47" s="1992"/>
      <c r="F47" s="1992"/>
      <c r="G47" s="1992"/>
      <c r="H47" s="1992"/>
      <c r="I47" s="1992"/>
    </row>
    <row r="48" spans="2:9" ht="19.5" customHeight="1">
      <c r="B48" s="1991" t="s">
        <v>958</v>
      </c>
      <c r="C48" s="1992"/>
      <c r="D48" s="1992"/>
      <c r="E48" s="1992"/>
      <c r="F48" s="1992"/>
      <c r="G48" s="1992"/>
      <c r="H48" s="1992"/>
      <c r="I48" s="1992"/>
    </row>
    <row r="49" spans="2:9">
      <c r="B49" s="273"/>
      <c r="C49" s="273"/>
      <c r="D49" s="273"/>
    </row>
    <row r="50" spans="2:9">
      <c r="B50" s="273"/>
      <c r="C50" s="281"/>
      <c r="D50" s="281"/>
    </row>
    <row r="51" spans="2:9">
      <c r="B51" s="273"/>
      <c r="C51" s="281"/>
      <c r="D51" s="281"/>
    </row>
    <row r="52" spans="2:9">
      <c r="B52" s="282" t="s">
        <v>328</v>
      </c>
      <c r="C52" s="281"/>
      <c r="D52" s="281"/>
      <c r="I52" s="283" t="str">
        <f>'fiche technique'!A12</f>
        <v>décembre 2014</v>
      </c>
    </row>
    <row r="53" spans="2:9">
      <c r="B53" s="281"/>
      <c r="C53" s="281"/>
      <c r="D53" s="281"/>
    </row>
    <row r="54" spans="2:9">
      <c r="B54" s="273"/>
      <c r="C54" s="281"/>
      <c r="D54" s="281"/>
    </row>
    <row r="55" spans="2:9">
      <c r="B55" s="281"/>
      <c r="C55" s="281"/>
      <c r="D55" s="281"/>
    </row>
    <row r="56" spans="2:9">
      <c r="B56" s="281"/>
      <c r="C56" s="281"/>
      <c r="D56" s="281"/>
    </row>
    <row r="57" spans="2:9">
      <c r="B57" s="281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  <row r="795" spans="2:4">
      <c r="B795" s="281"/>
      <c r="C795" s="281"/>
      <c r="D795" s="281"/>
    </row>
  </sheetData>
  <mergeCells count="8">
    <mergeCell ref="B48:I48"/>
    <mergeCell ref="B24:I24"/>
    <mergeCell ref="B25:I25"/>
    <mergeCell ref="F44:H44"/>
    <mergeCell ref="B45:I45"/>
    <mergeCell ref="B46:I46"/>
    <mergeCell ref="B47:I47"/>
    <mergeCell ref="D28:F28"/>
  </mergeCells>
  <printOptions horizontalCentered="1"/>
  <pageMargins left="0.39370078740157483" right="0.39370078740157483" top="0.78740157480314965" bottom="0.19685039370078741" header="0.31496062992125984" footer="0.31496062992125984"/>
  <pageSetup paperSize="9" firstPageNumber="47" orientation="portrait" useFirstPageNumber="1" r:id="rId1"/>
  <headerFooter alignWithMargins="0">
    <oddHeader>&amp;LDGRH A1-1</oddHeader>
    <oddFooter>&amp;CPage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euil19">
    <tabColor rgb="FFFFFF99"/>
  </sheetPr>
  <dimension ref="A1:K29"/>
  <sheetViews>
    <sheetView workbookViewId="0">
      <selection activeCell="L18" sqref="L18"/>
    </sheetView>
  </sheetViews>
  <sheetFormatPr baseColWidth="10" defaultColWidth="11.44140625" defaultRowHeight="13.2"/>
  <cols>
    <col min="1" max="1" width="54.33203125" style="24" customWidth="1"/>
    <col min="2" max="6" width="14.109375" style="25" customWidth="1"/>
    <col min="7" max="16384" width="11.44140625" style="24"/>
  </cols>
  <sheetData>
    <row r="1" spans="1:11" s="4" customFormat="1" ht="24" customHeight="1">
      <c r="A1" s="509" t="str">
        <f>'fiche technique'!A16</f>
        <v xml:space="preserve">Bilan de la campagne 2014 de recrutement et d'affectation des maîtres de conférences et des professeurs des universités </v>
      </c>
      <c r="B1" s="520"/>
      <c r="C1" s="521"/>
      <c r="D1" s="521"/>
      <c r="E1" s="521"/>
      <c r="F1" s="521"/>
    </row>
    <row r="2" spans="1:11" s="4" customFormat="1" ht="24" customHeight="1">
      <c r="A2" s="509" t="str">
        <f>'[19]fiche technique'!A16</f>
        <v>(session synchronisée - ANTEE)</v>
      </c>
      <c r="B2" s="520"/>
      <c r="C2" s="521"/>
      <c r="D2" s="521"/>
      <c r="E2" s="521"/>
      <c r="F2" s="521"/>
    </row>
    <row r="3" spans="1:11" s="4" customFormat="1" ht="15" customHeight="1">
      <c r="A3" s="157"/>
      <c r="B3" s="139"/>
      <c r="C3" s="158"/>
      <c r="D3" s="158"/>
      <c r="E3" s="158"/>
      <c r="F3" s="158"/>
    </row>
    <row r="4" spans="1:11" s="4" customFormat="1" ht="18.75" customHeight="1">
      <c r="A4" s="2071" t="s">
        <v>0</v>
      </c>
      <c r="B4" s="2071"/>
      <c r="C4" s="2071"/>
      <c r="D4" s="2071"/>
      <c r="E4" s="2071"/>
      <c r="F4" s="2071"/>
    </row>
    <row r="5" spans="1:11" s="4" customFormat="1" ht="18.75" customHeight="1">
      <c r="A5" s="138" t="s">
        <v>539</v>
      </c>
      <c r="B5" s="139"/>
      <c r="C5" s="522"/>
      <c r="D5" s="522"/>
      <c r="E5" s="522"/>
      <c r="F5" s="522"/>
    </row>
    <row r="6" spans="1:11" s="4" customFormat="1" ht="15" customHeight="1">
      <c r="A6" s="140"/>
      <c r="B6" s="141"/>
      <c r="C6" s="141"/>
      <c r="D6" s="141"/>
      <c r="E6" s="141"/>
      <c r="F6" s="141"/>
    </row>
    <row r="7" spans="1:11" s="4" customFormat="1" ht="15" customHeight="1" thickBot="1">
      <c r="B7" s="16"/>
      <c r="C7" s="16"/>
      <c r="D7" s="16"/>
      <c r="E7" s="16"/>
      <c r="F7" s="16"/>
    </row>
    <row r="8" spans="1:11" ht="66" customHeight="1" thickBot="1">
      <c r="A8" s="129"/>
      <c r="B8" s="149" t="s">
        <v>1</v>
      </c>
      <c r="C8" s="150" t="s">
        <v>2</v>
      </c>
      <c r="D8" s="150" t="s">
        <v>3</v>
      </c>
      <c r="E8" s="150" t="s">
        <v>4</v>
      </c>
      <c r="F8" s="151" t="s">
        <v>141</v>
      </c>
    </row>
    <row r="9" spans="1:11" ht="24" customHeight="1">
      <c r="A9" s="144" t="s">
        <v>143</v>
      </c>
      <c r="B9" s="133"/>
      <c r="C9" s="134"/>
      <c r="D9" s="134"/>
      <c r="E9" s="895"/>
      <c r="F9" s="896"/>
    </row>
    <row r="10" spans="1:11" ht="24" customHeight="1">
      <c r="A10" s="145" t="s">
        <v>132</v>
      </c>
      <c r="B10" s="142">
        <v>1279</v>
      </c>
      <c r="C10" s="142">
        <v>118</v>
      </c>
      <c r="D10" s="142">
        <v>4</v>
      </c>
      <c r="E10" s="897">
        <f>SUM(C10:D10)</f>
        <v>122</v>
      </c>
      <c r="F10" s="898">
        <f>E10/B10</f>
        <v>9.5387021110242373E-2</v>
      </c>
      <c r="J10" s="1015"/>
    </row>
    <row r="11" spans="1:11" ht="24" customHeight="1">
      <c r="A11" s="152" t="s">
        <v>164</v>
      </c>
      <c r="B11" s="143">
        <f>SUM(B10)</f>
        <v>1279</v>
      </c>
      <c r="C11" s="143">
        <f>SUM(C10)</f>
        <v>118</v>
      </c>
      <c r="D11" s="143">
        <f>SUM(D10)</f>
        <v>4</v>
      </c>
      <c r="E11" s="899">
        <f>SUM(E10)</f>
        <v>122</v>
      </c>
      <c r="F11" s="900">
        <f>E11/B11</f>
        <v>9.5387021110242373E-2</v>
      </c>
    </row>
    <row r="12" spans="1:11" ht="24" customHeight="1">
      <c r="A12" s="146" t="s">
        <v>162</v>
      </c>
      <c r="B12" s="135"/>
      <c r="C12" s="136"/>
      <c r="D12" s="136"/>
      <c r="E12" s="901"/>
      <c r="F12" s="902"/>
    </row>
    <row r="13" spans="1:11" ht="24" customHeight="1">
      <c r="A13" s="145" t="s">
        <v>989</v>
      </c>
      <c r="B13" s="142">
        <v>600</v>
      </c>
      <c r="C13" s="142">
        <v>49</v>
      </c>
      <c r="D13" s="142">
        <v>2</v>
      </c>
      <c r="E13" s="897">
        <f>SUM(C13:D13)</f>
        <v>51</v>
      </c>
      <c r="F13" s="898">
        <f>E13/B13</f>
        <v>8.5000000000000006E-2</v>
      </c>
      <c r="J13" s="1015"/>
    </row>
    <row r="14" spans="1:11" ht="24" customHeight="1">
      <c r="A14" s="147" t="s">
        <v>222</v>
      </c>
      <c r="B14" s="142">
        <v>109</v>
      </c>
      <c r="C14" s="142">
        <v>82</v>
      </c>
      <c r="D14" s="142">
        <v>2</v>
      </c>
      <c r="E14" s="897">
        <f>SUM(C14:D14)</f>
        <v>84</v>
      </c>
      <c r="F14" s="898">
        <f>E14/B14</f>
        <v>0.77064220183486243</v>
      </c>
      <c r="J14" s="1015"/>
      <c r="K14" s="1752">
        <f>C15/B15</f>
        <v>0.18476727785613539</v>
      </c>
    </row>
    <row r="15" spans="1:11" ht="24" customHeight="1">
      <c r="A15" s="152" t="s">
        <v>165</v>
      </c>
      <c r="B15" s="143">
        <f>SUM(B13:B14)</f>
        <v>709</v>
      </c>
      <c r="C15" s="143">
        <f>SUM(C13:C14)</f>
        <v>131</v>
      </c>
      <c r="D15" s="143">
        <f>SUM(D13:D14)</f>
        <v>4</v>
      </c>
      <c r="E15" s="899">
        <f>SUM(E13:E14)</f>
        <v>135</v>
      </c>
      <c r="F15" s="900">
        <f>E15/B15</f>
        <v>0.19040902679830748</v>
      </c>
    </row>
    <row r="16" spans="1:11" ht="23.25" customHeight="1" thickBot="1">
      <c r="A16" s="148" t="s">
        <v>5</v>
      </c>
      <c r="B16" s="905">
        <f>B11+B15</f>
        <v>1988</v>
      </c>
      <c r="C16" s="903">
        <f>C11+C15</f>
        <v>249</v>
      </c>
      <c r="D16" s="903">
        <f>D11+D15</f>
        <v>8</v>
      </c>
      <c r="E16" s="903">
        <f>E11+E15</f>
        <v>257</v>
      </c>
      <c r="F16" s="904">
        <f>E16/B16</f>
        <v>0.12927565392354123</v>
      </c>
    </row>
    <row r="17" spans="1:6" ht="23.25" customHeight="1" thickBot="1">
      <c r="A17" s="409" t="str">
        <f>'fiche technique'!A14</f>
        <v>Source: GALAXIE (ANTEE), DGRH A1-1 &amp; DGRH A2, juin 2014</v>
      </c>
      <c r="B17" s="131"/>
      <c r="C17" s="906">
        <f>C16/B16</f>
        <v>0.12525150905432594</v>
      </c>
      <c r="D17" s="907">
        <f>D16/B16</f>
        <v>4.0241448692152921E-3</v>
      </c>
      <c r="E17" s="908">
        <f>E16/B16</f>
        <v>0.12927565392354123</v>
      </c>
      <c r="F17" s="132"/>
    </row>
    <row r="18" spans="1:6" ht="15" customHeight="1">
      <c r="A18" s="130"/>
      <c r="B18" s="131"/>
      <c r="C18" s="137"/>
      <c r="D18" s="137"/>
      <c r="E18" s="137"/>
      <c r="F18" s="132"/>
    </row>
    <row r="19" spans="1:6" ht="15.75" customHeight="1">
      <c r="A19" s="1864" t="s">
        <v>220</v>
      </c>
      <c r="B19" s="1864"/>
      <c r="C19" s="1864"/>
      <c r="D19" s="1864"/>
      <c r="E19" s="1864"/>
      <c r="F19" s="1864"/>
    </row>
    <row r="20" spans="1:6" ht="15.75" customHeight="1">
      <c r="A20" s="1864" t="s">
        <v>221</v>
      </c>
      <c r="B20" s="1864"/>
      <c r="C20" s="1864"/>
      <c r="D20" s="1864"/>
      <c r="E20" s="1864"/>
      <c r="F20" s="1864"/>
    </row>
    <row r="21" spans="1:6" ht="15.75" customHeight="1">
      <c r="A21" s="102" t="s">
        <v>570</v>
      </c>
      <c r="B21" s="467"/>
      <c r="C21" s="468"/>
      <c r="D21" s="468"/>
      <c r="E21" s="468"/>
      <c r="F21" s="468"/>
    </row>
    <row r="22" spans="1:6" ht="15.75" customHeight="1">
      <c r="A22" s="102" t="s">
        <v>990</v>
      </c>
      <c r="B22" s="467"/>
      <c r="C22" s="468"/>
      <c r="D22" s="468"/>
      <c r="E22" s="468"/>
      <c r="F22" s="468"/>
    </row>
    <row r="23" spans="1:6" ht="18" customHeight="1">
      <c r="A23" s="23"/>
    </row>
    <row r="24" spans="1:6" ht="18" customHeight="1"/>
    <row r="25" spans="1:6" ht="18" customHeight="1"/>
    <row r="26" spans="1:6" ht="18" customHeight="1"/>
    <row r="27" spans="1:6">
      <c r="F27" s="24"/>
    </row>
    <row r="29" spans="1:6">
      <c r="A29" s="21"/>
      <c r="E29" s="21"/>
      <c r="F29" s="21"/>
    </row>
  </sheetData>
  <mergeCells count="1">
    <mergeCell ref="A4:F4"/>
  </mergeCells>
  <printOptions horizont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>
    <oddHeader>&amp;LDGRH A1-1</oddHeader>
    <oddFooter>&amp;CPage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66"/>
  </sheetPr>
  <dimension ref="A1:I67"/>
  <sheetViews>
    <sheetView zoomScale="85" zoomScaleNormal="85" workbookViewId="0">
      <selection activeCell="L18" sqref="L18"/>
    </sheetView>
  </sheetViews>
  <sheetFormatPr baseColWidth="10" defaultRowHeight="13.2"/>
  <cols>
    <col min="1" max="1" width="10.6640625" style="1263" customWidth="1"/>
    <col min="2" max="2" width="63.109375" style="1263" customWidth="1"/>
    <col min="3" max="3" width="7" style="1263" bestFit="1" customWidth="1"/>
    <col min="4" max="256" width="11.44140625" style="1263"/>
    <col min="257" max="257" width="10.6640625" style="1263" customWidth="1"/>
    <col min="258" max="258" width="63.109375" style="1263" customWidth="1"/>
    <col min="259" max="259" width="7" style="1263" bestFit="1" customWidth="1"/>
    <col min="260" max="512" width="11.44140625" style="1263"/>
    <col min="513" max="513" width="10.6640625" style="1263" customWidth="1"/>
    <col min="514" max="514" width="63.109375" style="1263" customWidth="1"/>
    <col min="515" max="515" width="7" style="1263" bestFit="1" customWidth="1"/>
    <col min="516" max="768" width="11.44140625" style="1263"/>
    <col min="769" max="769" width="10.6640625" style="1263" customWidth="1"/>
    <col min="770" max="770" width="63.109375" style="1263" customWidth="1"/>
    <col min="771" max="771" width="7" style="1263" bestFit="1" customWidth="1"/>
    <col min="772" max="1024" width="11.44140625" style="1263"/>
    <col min="1025" max="1025" width="10.6640625" style="1263" customWidth="1"/>
    <col min="1026" max="1026" width="63.109375" style="1263" customWidth="1"/>
    <col min="1027" max="1027" width="7" style="1263" bestFit="1" customWidth="1"/>
    <col min="1028" max="1280" width="11.44140625" style="1263"/>
    <col min="1281" max="1281" width="10.6640625" style="1263" customWidth="1"/>
    <col min="1282" max="1282" width="63.109375" style="1263" customWidth="1"/>
    <col min="1283" max="1283" width="7" style="1263" bestFit="1" customWidth="1"/>
    <col min="1284" max="1536" width="11.44140625" style="1263"/>
    <col min="1537" max="1537" width="10.6640625" style="1263" customWidth="1"/>
    <col min="1538" max="1538" width="63.109375" style="1263" customWidth="1"/>
    <col min="1539" max="1539" width="7" style="1263" bestFit="1" customWidth="1"/>
    <col min="1540" max="1792" width="11.44140625" style="1263"/>
    <col min="1793" max="1793" width="10.6640625" style="1263" customWidth="1"/>
    <col min="1794" max="1794" width="63.109375" style="1263" customWidth="1"/>
    <col min="1795" max="1795" width="7" style="1263" bestFit="1" customWidth="1"/>
    <col min="1796" max="2048" width="11.44140625" style="1263"/>
    <col min="2049" max="2049" width="10.6640625" style="1263" customWidth="1"/>
    <col min="2050" max="2050" width="63.109375" style="1263" customWidth="1"/>
    <col min="2051" max="2051" width="7" style="1263" bestFit="1" customWidth="1"/>
    <col min="2052" max="2304" width="11.44140625" style="1263"/>
    <col min="2305" max="2305" width="10.6640625" style="1263" customWidth="1"/>
    <col min="2306" max="2306" width="63.109375" style="1263" customWidth="1"/>
    <col min="2307" max="2307" width="7" style="1263" bestFit="1" customWidth="1"/>
    <col min="2308" max="2560" width="11.44140625" style="1263"/>
    <col min="2561" max="2561" width="10.6640625" style="1263" customWidth="1"/>
    <col min="2562" max="2562" width="63.109375" style="1263" customWidth="1"/>
    <col min="2563" max="2563" width="7" style="1263" bestFit="1" customWidth="1"/>
    <col min="2564" max="2816" width="11.44140625" style="1263"/>
    <col min="2817" max="2817" width="10.6640625" style="1263" customWidth="1"/>
    <col min="2818" max="2818" width="63.109375" style="1263" customWidth="1"/>
    <col min="2819" max="2819" width="7" style="1263" bestFit="1" customWidth="1"/>
    <col min="2820" max="3072" width="11.44140625" style="1263"/>
    <col min="3073" max="3073" width="10.6640625" style="1263" customWidth="1"/>
    <col min="3074" max="3074" width="63.109375" style="1263" customWidth="1"/>
    <col min="3075" max="3075" width="7" style="1263" bestFit="1" customWidth="1"/>
    <col min="3076" max="3328" width="11.44140625" style="1263"/>
    <col min="3329" max="3329" width="10.6640625" style="1263" customWidth="1"/>
    <col min="3330" max="3330" width="63.109375" style="1263" customWidth="1"/>
    <col min="3331" max="3331" width="7" style="1263" bestFit="1" customWidth="1"/>
    <col min="3332" max="3584" width="11.44140625" style="1263"/>
    <col min="3585" max="3585" width="10.6640625" style="1263" customWidth="1"/>
    <col min="3586" max="3586" width="63.109375" style="1263" customWidth="1"/>
    <col min="3587" max="3587" width="7" style="1263" bestFit="1" customWidth="1"/>
    <col min="3588" max="3840" width="11.44140625" style="1263"/>
    <col min="3841" max="3841" width="10.6640625" style="1263" customWidth="1"/>
    <col min="3842" max="3842" width="63.109375" style="1263" customWidth="1"/>
    <col min="3843" max="3843" width="7" style="1263" bestFit="1" customWidth="1"/>
    <col min="3844" max="4096" width="11.44140625" style="1263"/>
    <col min="4097" max="4097" width="10.6640625" style="1263" customWidth="1"/>
    <col min="4098" max="4098" width="63.109375" style="1263" customWidth="1"/>
    <col min="4099" max="4099" width="7" style="1263" bestFit="1" customWidth="1"/>
    <col min="4100" max="4352" width="11.44140625" style="1263"/>
    <col min="4353" max="4353" width="10.6640625" style="1263" customWidth="1"/>
    <col min="4354" max="4354" width="63.109375" style="1263" customWidth="1"/>
    <col min="4355" max="4355" width="7" style="1263" bestFit="1" customWidth="1"/>
    <col min="4356" max="4608" width="11.44140625" style="1263"/>
    <col min="4609" max="4609" width="10.6640625" style="1263" customWidth="1"/>
    <col min="4610" max="4610" width="63.109375" style="1263" customWidth="1"/>
    <col min="4611" max="4611" width="7" style="1263" bestFit="1" customWidth="1"/>
    <col min="4612" max="4864" width="11.44140625" style="1263"/>
    <col min="4865" max="4865" width="10.6640625" style="1263" customWidth="1"/>
    <col min="4866" max="4866" width="63.109375" style="1263" customWidth="1"/>
    <col min="4867" max="4867" width="7" style="1263" bestFit="1" customWidth="1"/>
    <col min="4868" max="5120" width="11.44140625" style="1263"/>
    <col min="5121" max="5121" width="10.6640625" style="1263" customWidth="1"/>
    <col min="5122" max="5122" width="63.109375" style="1263" customWidth="1"/>
    <col min="5123" max="5123" width="7" style="1263" bestFit="1" customWidth="1"/>
    <col min="5124" max="5376" width="11.44140625" style="1263"/>
    <col min="5377" max="5377" width="10.6640625" style="1263" customWidth="1"/>
    <col min="5378" max="5378" width="63.109375" style="1263" customWidth="1"/>
    <col min="5379" max="5379" width="7" style="1263" bestFit="1" customWidth="1"/>
    <col min="5380" max="5632" width="11.44140625" style="1263"/>
    <col min="5633" max="5633" width="10.6640625" style="1263" customWidth="1"/>
    <col min="5634" max="5634" width="63.109375" style="1263" customWidth="1"/>
    <col min="5635" max="5635" width="7" style="1263" bestFit="1" customWidth="1"/>
    <col min="5636" max="5888" width="11.44140625" style="1263"/>
    <col min="5889" max="5889" width="10.6640625" style="1263" customWidth="1"/>
    <col min="5890" max="5890" width="63.109375" style="1263" customWidth="1"/>
    <col min="5891" max="5891" width="7" style="1263" bestFit="1" customWidth="1"/>
    <col min="5892" max="6144" width="11.44140625" style="1263"/>
    <col min="6145" max="6145" width="10.6640625" style="1263" customWidth="1"/>
    <col min="6146" max="6146" width="63.109375" style="1263" customWidth="1"/>
    <col min="6147" max="6147" width="7" style="1263" bestFit="1" customWidth="1"/>
    <col min="6148" max="6400" width="11.44140625" style="1263"/>
    <col min="6401" max="6401" width="10.6640625" style="1263" customWidth="1"/>
    <col min="6402" max="6402" width="63.109375" style="1263" customWidth="1"/>
    <col min="6403" max="6403" width="7" style="1263" bestFit="1" customWidth="1"/>
    <col min="6404" max="6656" width="11.44140625" style="1263"/>
    <col min="6657" max="6657" width="10.6640625" style="1263" customWidth="1"/>
    <col min="6658" max="6658" width="63.109375" style="1263" customWidth="1"/>
    <col min="6659" max="6659" width="7" style="1263" bestFit="1" customWidth="1"/>
    <col min="6660" max="6912" width="11.44140625" style="1263"/>
    <col min="6913" max="6913" width="10.6640625" style="1263" customWidth="1"/>
    <col min="6914" max="6914" width="63.109375" style="1263" customWidth="1"/>
    <col min="6915" max="6915" width="7" style="1263" bestFit="1" customWidth="1"/>
    <col min="6916" max="7168" width="11.44140625" style="1263"/>
    <col min="7169" max="7169" width="10.6640625" style="1263" customWidth="1"/>
    <col min="7170" max="7170" width="63.109375" style="1263" customWidth="1"/>
    <col min="7171" max="7171" width="7" style="1263" bestFit="1" customWidth="1"/>
    <col min="7172" max="7424" width="11.44140625" style="1263"/>
    <col min="7425" max="7425" width="10.6640625" style="1263" customWidth="1"/>
    <col min="7426" max="7426" width="63.109375" style="1263" customWidth="1"/>
    <col min="7427" max="7427" width="7" style="1263" bestFit="1" customWidth="1"/>
    <col min="7428" max="7680" width="11.44140625" style="1263"/>
    <col min="7681" max="7681" width="10.6640625" style="1263" customWidth="1"/>
    <col min="7682" max="7682" width="63.109375" style="1263" customWidth="1"/>
    <col min="7683" max="7683" width="7" style="1263" bestFit="1" customWidth="1"/>
    <col min="7684" max="7936" width="11.44140625" style="1263"/>
    <col min="7937" max="7937" width="10.6640625" style="1263" customWidth="1"/>
    <col min="7938" max="7938" width="63.109375" style="1263" customWidth="1"/>
    <col min="7939" max="7939" width="7" style="1263" bestFit="1" customWidth="1"/>
    <col min="7940" max="8192" width="11.44140625" style="1263"/>
    <col min="8193" max="8193" width="10.6640625" style="1263" customWidth="1"/>
    <col min="8194" max="8194" width="63.109375" style="1263" customWidth="1"/>
    <col min="8195" max="8195" width="7" style="1263" bestFit="1" customWidth="1"/>
    <col min="8196" max="8448" width="11.44140625" style="1263"/>
    <col min="8449" max="8449" width="10.6640625" style="1263" customWidth="1"/>
    <col min="8450" max="8450" width="63.109375" style="1263" customWidth="1"/>
    <col min="8451" max="8451" width="7" style="1263" bestFit="1" customWidth="1"/>
    <col min="8452" max="8704" width="11.44140625" style="1263"/>
    <col min="8705" max="8705" width="10.6640625" style="1263" customWidth="1"/>
    <col min="8706" max="8706" width="63.109375" style="1263" customWidth="1"/>
    <col min="8707" max="8707" width="7" style="1263" bestFit="1" customWidth="1"/>
    <col min="8708" max="8960" width="11.44140625" style="1263"/>
    <col min="8961" max="8961" width="10.6640625" style="1263" customWidth="1"/>
    <col min="8962" max="8962" width="63.109375" style="1263" customWidth="1"/>
    <col min="8963" max="8963" width="7" style="1263" bestFit="1" customWidth="1"/>
    <col min="8964" max="9216" width="11.44140625" style="1263"/>
    <col min="9217" max="9217" width="10.6640625" style="1263" customWidth="1"/>
    <col min="9218" max="9218" width="63.109375" style="1263" customWidth="1"/>
    <col min="9219" max="9219" width="7" style="1263" bestFit="1" customWidth="1"/>
    <col min="9220" max="9472" width="11.44140625" style="1263"/>
    <col min="9473" max="9473" width="10.6640625" style="1263" customWidth="1"/>
    <col min="9474" max="9474" width="63.109375" style="1263" customWidth="1"/>
    <col min="9475" max="9475" width="7" style="1263" bestFit="1" customWidth="1"/>
    <col min="9476" max="9728" width="11.44140625" style="1263"/>
    <col min="9729" max="9729" width="10.6640625" style="1263" customWidth="1"/>
    <col min="9730" max="9730" width="63.109375" style="1263" customWidth="1"/>
    <col min="9731" max="9731" width="7" style="1263" bestFit="1" customWidth="1"/>
    <col min="9732" max="9984" width="11.44140625" style="1263"/>
    <col min="9985" max="9985" width="10.6640625" style="1263" customWidth="1"/>
    <col min="9986" max="9986" width="63.109375" style="1263" customWidth="1"/>
    <col min="9987" max="9987" width="7" style="1263" bestFit="1" customWidth="1"/>
    <col min="9988" max="10240" width="11.44140625" style="1263"/>
    <col min="10241" max="10241" width="10.6640625" style="1263" customWidth="1"/>
    <col min="10242" max="10242" width="63.109375" style="1263" customWidth="1"/>
    <col min="10243" max="10243" width="7" style="1263" bestFit="1" customWidth="1"/>
    <col min="10244" max="10496" width="11.44140625" style="1263"/>
    <col min="10497" max="10497" width="10.6640625" style="1263" customWidth="1"/>
    <col min="10498" max="10498" width="63.109375" style="1263" customWidth="1"/>
    <col min="10499" max="10499" width="7" style="1263" bestFit="1" customWidth="1"/>
    <col min="10500" max="10752" width="11.44140625" style="1263"/>
    <col min="10753" max="10753" width="10.6640625" style="1263" customWidth="1"/>
    <col min="10754" max="10754" width="63.109375" style="1263" customWidth="1"/>
    <col min="10755" max="10755" width="7" style="1263" bestFit="1" customWidth="1"/>
    <col min="10756" max="11008" width="11.44140625" style="1263"/>
    <col min="11009" max="11009" width="10.6640625" style="1263" customWidth="1"/>
    <col min="11010" max="11010" width="63.109375" style="1263" customWidth="1"/>
    <col min="11011" max="11011" width="7" style="1263" bestFit="1" customWidth="1"/>
    <col min="11012" max="11264" width="11.44140625" style="1263"/>
    <col min="11265" max="11265" width="10.6640625" style="1263" customWidth="1"/>
    <col min="11266" max="11266" width="63.109375" style="1263" customWidth="1"/>
    <col min="11267" max="11267" width="7" style="1263" bestFit="1" customWidth="1"/>
    <col min="11268" max="11520" width="11.44140625" style="1263"/>
    <col min="11521" max="11521" width="10.6640625" style="1263" customWidth="1"/>
    <col min="11522" max="11522" width="63.109375" style="1263" customWidth="1"/>
    <col min="11523" max="11523" width="7" style="1263" bestFit="1" customWidth="1"/>
    <col min="11524" max="11776" width="11.44140625" style="1263"/>
    <col min="11777" max="11777" width="10.6640625" style="1263" customWidth="1"/>
    <col min="11778" max="11778" width="63.109375" style="1263" customWidth="1"/>
    <col min="11779" max="11779" width="7" style="1263" bestFit="1" customWidth="1"/>
    <col min="11780" max="12032" width="11.44140625" style="1263"/>
    <col min="12033" max="12033" width="10.6640625" style="1263" customWidth="1"/>
    <col min="12034" max="12034" width="63.109375" style="1263" customWidth="1"/>
    <col min="12035" max="12035" width="7" style="1263" bestFit="1" customWidth="1"/>
    <col min="12036" max="12288" width="11.44140625" style="1263"/>
    <col min="12289" max="12289" width="10.6640625" style="1263" customWidth="1"/>
    <col min="12290" max="12290" width="63.109375" style="1263" customWidth="1"/>
    <col min="12291" max="12291" width="7" style="1263" bestFit="1" customWidth="1"/>
    <col min="12292" max="12544" width="11.44140625" style="1263"/>
    <col min="12545" max="12545" width="10.6640625" style="1263" customWidth="1"/>
    <col min="12546" max="12546" width="63.109375" style="1263" customWidth="1"/>
    <col min="12547" max="12547" width="7" style="1263" bestFit="1" customWidth="1"/>
    <col min="12548" max="12800" width="11.44140625" style="1263"/>
    <col min="12801" max="12801" width="10.6640625" style="1263" customWidth="1"/>
    <col min="12802" max="12802" width="63.109375" style="1263" customWidth="1"/>
    <col min="12803" max="12803" width="7" style="1263" bestFit="1" customWidth="1"/>
    <col min="12804" max="13056" width="11.44140625" style="1263"/>
    <col min="13057" max="13057" width="10.6640625" style="1263" customWidth="1"/>
    <col min="13058" max="13058" width="63.109375" style="1263" customWidth="1"/>
    <col min="13059" max="13059" width="7" style="1263" bestFit="1" customWidth="1"/>
    <col min="13060" max="13312" width="11.44140625" style="1263"/>
    <col min="13313" max="13313" width="10.6640625" style="1263" customWidth="1"/>
    <col min="13314" max="13314" width="63.109375" style="1263" customWidth="1"/>
    <col min="13315" max="13315" width="7" style="1263" bestFit="1" customWidth="1"/>
    <col min="13316" max="13568" width="11.44140625" style="1263"/>
    <col min="13569" max="13569" width="10.6640625" style="1263" customWidth="1"/>
    <col min="13570" max="13570" width="63.109375" style="1263" customWidth="1"/>
    <col min="13571" max="13571" width="7" style="1263" bestFit="1" customWidth="1"/>
    <col min="13572" max="13824" width="11.44140625" style="1263"/>
    <col min="13825" max="13825" width="10.6640625" style="1263" customWidth="1"/>
    <col min="13826" max="13826" width="63.109375" style="1263" customWidth="1"/>
    <col min="13827" max="13827" width="7" style="1263" bestFit="1" customWidth="1"/>
    <col min="13828" max="14080" width="11.44140625" style="1263"/>
    <col min="14081" max="14081" width="10.6640625" style="1263" customWidth="1"/>
    <col min="14082" max="14082" width="63.109375" style="1263" customWidth="1"/>
    <col min="14083" max="14083" width="7" style="1263" bestFit="1" customWidth="1"/>
    <col min="14084" max="14336" width="11.44140625" style="1263"/>
    <col min="14337" max="14337" width="10.6640625" style="1263" customWidth="1"/>
    <col min="14338" max="14338" width="63.109375" style="1263" customWidth="1"/>
    <col min="14339" max="14339" width="7" style="1263" bestFit="1" customWidth="1"/>
    <col min="14340" max="14592" width="11.44140625" style="1263"/>
    <col min="14593" max="14593" width="10.6640625" style="1263" customWidth="1"/>
    <col min="14594" max="14594" width="63.109375" style="1263" customWidth="1"/>
    <col min="14595" max="14595" width="7" style="1263" bestFit="1" customWidth="1"/>
    <col min="14596" max="14848" width="11.44140625" style="1263"/>
    <col min="14849" max="14849" width="10.6640625" style="1263" customWidth="1"/>
    <col min="14850" max="14850" width="63.109375" style="1263" customWidth="1"/>
    <col min="14851" max="14851" width="7" style="1263" bestFit="1" customWidth="1"/>
    <col min="14852" max="15104" width="11.44140625" style="1263"/>
    <col min="15105" max="15105" width="10.6640625" style="1263" customWidth="1"/>
    <col min="15106" max="15106" width="63.109375" style="1263" customWidth="1"/>
    <col min="15107" max="15107" width="7" style="1263" bestFit="1" customWidth="1"/>
    <col min="15108" max="15360" width="11.44140625" style="1263"/>
    <col min="15361" max="15361" width="10.6640625" style="1263" customWidth="1"/>
    <col min="15362" max="15362" width="63.109375" style="1263" customWidth="1"/>
    <col min="15363" max="15363" width="7" style="1263" bestFit="1" customWidth="1"/>
    <col min="15364" max="15616" width="11.44140625" style="1263"/>
    <col min="15617" max="15617" width="10.6640625" style="1263" customWidth="1"/>
    <col min="15618" max="15618" width="63.109375" style="1263" customWidth="1"/>
    <col min="15619" max="15619" width="7" style="1263" bestFit="1" customWidth="1"/>
    <col min="15620" max="15872" width="11.44140625" style="1263"/>
    <col min="15873" max="15873" width="10.6640625" style="1263" customWidth="1"/>
    <col min="15874" max="15874" width="63.109375" style="1263" customWidth="1"/>
    <col min="15875" max="15875" width="7" style="1263" bestFit="1" customWidth="1"/>
    <col min="15876" max="16128" width="11.44140625" style="1263"/>
    <col min="16129" max="16129" width="10.6640625" style="1263" customWidth="1"/>
    <col min="16130" max="16130" width="63.109375" style="1263" customWidth="1"/>
    <col min="16131" max="16131" width="7" style="1263" bestFit="1" customWidth="1"/>
    <col min="16132" max="16384" width="11.44140625" style="1263"/>
  </cols>
  <sheetData>
    <row r="1" spans="1:9">
      <c r="A1" s="523"/>
      <c r="B1" s="523"/>
      <c r="C1" s="523"/>
      <c r="D1" s="523"/>
      <c r="E1" s="523"/>
      <c r="F1" s="524"/>
    </row>
    <row r="2" spans="1:9" ht="17.399999999999999">
      <c r="A2" s="526" t="s">
        <v>713</v>
      </c>
      <c r="B2" s="527"/>
      <c r="C2" s="527"/>
      <c r="D2" s="527"/>
      <c r="E2" s="527"/>
      <c r="F2" s="528"/>
    </row>
    <row r="3" spans="1:9" ht="17.399999999999999">
      <c r="A3" s="530"/>
      <c r="B3" s="530"/>
      <c r="C3" s="530"/>
      <c r="D3" s="530"/>
      <c r="E3" s="530"/>
      <c r="F3" s="531"/>
    </row>
    <row r="4" spans="1:9" ht="17.399999999999999">
      <c r="A4" s="532" t="s">
        <v>6</v>
      </c>
      <c r="B4" s="532"/>
      <c r="C4" s="532"/>
      <c r="D4" s="532"/>
      <c r="E4" s="532"/>
      <c r="F4" s="533"/>
    </row>
    <row r="5" spans="1:9" ht="17.399999999999999">
      <c r="A5" s="532" t="s">
        <v>330</v>
      </c>
      <c r="B5" s="532"/>
      <c r="C5" s="532"/>
      <c r="D5" s="532"/>
      <c r="E5" s="532"/>
      <c r="F5" s="533"/>
    </row>
    <row r="6" spans="1:9">
      <c r="A6" s="534"/>
      <c r="B6" s="535"/>
      <c r="C6" s="535"/>
      <c r="D6" s="535"/>
      <c r="E6" s="535"/>
      <c r="F6" s="535"/>
    </row>
    <row r="7" spans="1:9" ht="17.399999999999999">
      <c r="A7" s="530" t="s">
        <v>227</v>
      </c>
      <c r="B7" s="536"/>
      <c r="C7" s="536"/>
      <c r="D7" s="536"/>
      <c r="E7" s="536"/>
      <c r="F7" s="536"/>
    </row>
    <row r="8" spans="1:9" ht="13.8" thickBot="1">
      <c r="A8" s="537" t="s">
        <v>7</v>
      </c>
      <c r="B8" s="537"/>
      <c r="C8" s="537"/>
      <c r="D8" s="537"/>
      <c r="E8" s="537"/>
      <c r="F8" s="538"/>
    </row>
    <row r="9" spans="1:9" ht="66">
      <c r="A9" s="1891" t="s">
        <v>8</v>
      </c>
      <c r="B9" s="1895" t="s">
        <v>125</v>
      </c>
      <c r="C9" s="775" t="s">
        <v>1</v>
      </c>
      <c r="D9" s="775" t="s">
        <v>2</v>
      </c>
      <c r="E9" s="775" t="s">
        <v>3</v>
      </c>
      <c r="F9" s="1899" t="s">
        <v>226</v>
      </c>
    </row>
    <row r="10" spans="1:9">
      <c r="A10" s="539" t="s">
        <v>9</v>
      </c>
      <c r="B10" s="540" t="s">
        <v>10</v>
      </c>
      <c r="C10" s="541">
        <v>71</v>
      </c>
      <c r="D10" s="541">
        <v>11</v>
      </c>
      <c r="E10" s="541"/>
      <c r="F10" s="1745">
        <f>D10+E10</f>
        <v>11</v>
      </c>
      <c r="H10" s="1263" t="s">
        <v>9</v>
      </c>
      <c r="I10" s="1263">
        <v>71</v>
      </c>
    </row>
    <row r="11" spans="1:9">
      <c r="A11" s="543" t="s">
        <v>11</v>
      </c>
      <c r="B11" s="544" t="s">
        <v>12</v>
      </c>
      <c r="C11" s="1264">
        <v>36</v>
      </c>
      <c r="D11" s="1264">
        <v>4</v>
      </c>
      <c r="E11" s="545"/>
      <c r="F11" s="1746">
        <f t="shared" ref="F11:F66" si="0">D11+E11</f>
        <v>4</v>
      </c>
      <c r="H11" s="1263" t="s">
        <v>11</v>
      </c>
      <c r="I11" s="1263">
        <v>36</v>
      </c>
    </row>
    <row r="12" spans="1:9">
      <c r="A12" s="543" t="s">
        <v>13</v>
      </c>
      <c r="B12" s="544" t="s">
        <v>14</v>
      </c>
      <c r="C12" s="1264">
        <v>4</v>
      </c>
      <c r="D12" s="1264"/>
      <c r="E12" s="545"/>
      <c r="F12" s="918">
        <f t="shared" si="0"/>
        <v>0</v>
      </c>
      <c r="H12" s="1263" t="s">
        <v>13</v>
      </c>
      <c r="I12" s="1263">
        <v>4</v>
      </c>
    </row>
    <row r="13" spans="1:9">
      <c r="A13" s="543" t="s">
        <v>15</v>
      </c>
      <c r="B13" s="544" t="s">
        <v>16</v>
      </c>
      <c r="C13" s="1264">
        <v>18</v>
      </c>
      <c r="D13" s="1264">
        <v>1</v>
      </c>
      <c r="E13" s="545"/>
      <c r="F13" s="918">
        <f t="shared" si="0"/>
        <v>1</v>
      </c>
      <c r="H13" s="1263" t="s">
        <v>15</v>
      </c>
      <c r="I13" s="1263">
        <v>18</v>
      </c>
    </row>
    <row r="14" spans="1:9">
      <c r="A14" s="543" t="s">
        <v>17</v>
      </c>
      <c r="B14" s="544" t="s">
        <v>18</v>
      </c>
      <c r="C14" s="1264">
        <v>50</v>
      </c>
      <c r="D14" s="1264">
        <v>10</v>
      </c>
      <c r="E14" s="545">
        <v>1</v>
      </c>
      <c r="F14" s="918">
        <f t="shared" si="0"/>
        <v>11</v>
      </c>
      <c r="H14" s="1263" t="s">
        <v>17</v>
      </c>
      <c r="I14" s="1263">
        <v>50</v>
      </c>
    </row>
    <row r="15" spans="1:9">
      <c r="A15" s="543" t="s">
        <v>19</v>
      </c>
      <c r="B15" s="544" t="s">
        <v>20</v>
      </c>
      <c r="C15" s="1264">
        <v>101</v>
      </c>
      <c r="D15" s="1264">
        <v>26</v>
      </c>
      <c r="E15" s="545">
        <v>1</v>
      </c>
      <c r="F15" s="918">
        <f t="shared" si="0"/>
        <v>27</v>
      </c>
      <c r="H15" s="1263" t="s">
        <v>19</v>
      </c>
      <c r="I15" s="1263">
        <v>101</v>
      </c>
    </row>
    <row r="16" spans="1:9">
      <c r="A16" s="543" t="s">
        <v>21</v>
      </c>
      <c r="B16" s="544" t="s">
        <v>22</v>
      </c>
      <c r="C16" s="1264">
        <v>31</v>
      </c>
      <c r="D16" s="1264">
        <v>4</v>
      </c>
      <c r="E16" s="545"/>
      <c r="F16" s="918">
        <f t="shared" si="0"/>
        <v>4</v>
      </c>
      <c r="H16" s="1263" t="s">
        <v>21</v>
      </c>
      <c r="I16" s="1263">
        <v>31</v>
      </c>
    </row>
    <row r="17" spans="1:9">
      <c r="A17" s="543" t="s">
        <v>23</v>
      </c>
      <c r="B17" s="544" t="s">
        <v>24</v>
      </c>
      <c r="C17" s="1264">
        <v>8</v>
      </c>
      <c r="D17" s="1264"/>
      <c r="E17" s="545"/>
      <c r="F17" s="918">
        <f t="shared" si="0"/>
        <v>0</v>
      </c>
      <c r="H17" s="1263" t="s">
        <v>23</v>
      </c>
      <c r="I17" s="1263">
        <v>8</v>
      </c>
    </row>
    <row r="18" spans="1:9">
      <c r="A18" s="543" t="s">
        <v>25</v>
      </c>
      <c r="B18" s="544" t="s">
        <v>26</v>
      </c>
      <c r="C18" s="1264">
        <v>16</v>
      </c>
      <c r="D18" s="1264">
        <v>4</v>
      </c>
      <c r="E18" s="545"/>
      <c r="F18" s="918">
        <f t="shared" si="0"/>
        <v>4</v>
      </c>
      <c r="H18" s="1263" t="s">
        <v>25</v>
      </c>
      <c r="I18" s="1263">
        <v>16</v>
      </c>
    </row>
    <row r="19" spans="1:9">
      <c r="A19" s="543" t="s">
        <v>27</v>
      </c>
      <c r="B19" s="544" t="s">
        <v>28</v>
      </c>
      <c r="C19" s="1264">
        <v>7</v>
      </c>
      <c r="D19" s="1264"/>
      <c r="E19" s="545"/>
      <c r="F19" s="918">
        <f t="shared" si="0"/>
        <v>0</v>
      </c>
      <c r="H19" s="1263" t="s">
        <v>27</v>
      </c>
      <c r="I19" s="1263">
        <v>7</v>
      </c>
    </row>
    <row r="20" spans="1:9">
      <c r="A20" s="543" t="s">
        <v>29</v>
      </c>
      <c r="B20" s="544" t="s">
        <v>30</v>
      </c>
      <c r="C20" s="1264">
        <v>58</v>
      </c>
      <c r="D20" s="1264">
        <v>9</v>
      </c>
      <c r="E20" s="545"/>
      <c r="F20" s="918">
        <f t="shared" si="0"/>
        <v>9</v>
      </c>
      <c r="H20" s="1263" t="s">
        <v>29</v>
      </c>
      <c r="I20" s="1263">
        <v>58</v>
      </c>
    </row>
    <row r="21" spans="1:9">
      <c r="A21" s="543" t="s">
        <v>31</v>
      </c>
      <c r="B21" s="544" t="s">
        <v>32</v>
      </c>
      <c r="C21" s="1264">
        <v>8</v>
      </c>
      <c r="D21" s="1264">
        <v>3</v>
      </c>
      <c r="E21" s="545"/>
      <c r="F21" s="918">
        <f t="shared" si="0"/>
        <v>3</v>
      </c>
      <c r="H21" s="1263" t="s">
        <v>31</v>
      </c>
      <c r="I21" s="1263">
        <v>8</v>
      </c>
    </row>
    <row r="22" spans="1:9">
      <c r="A22" s="543" t="s">
        <v>33</v>
      </c>
      <c r="B22" s="544" t="s">
        <v>34</v>
      </c>
      <c r="C22" s="1264">
        <v>2</v>
      </c>
      <c r="D22" s="1264"/>
      <c r="E22" s="545"/>
      <c r="F22" s="918">
        <f t="shared" si="0"/>
        <v>0</v>
      </c>
      <c r="H22" s="1263" t="s">
        <v>33</v>
      </c>
      <c r="I22" s="1263">
        <v>2</v>
      </c>
    </row>
    <row r="23" spans="1:9">
      <c r="A23" s="543" t="s">
        <v>35</v>
      </c>
      <c r="B23" s="546" t="s">
        <v>36</v>
      </c>
      <c r="C23" s="1264">
        <v>37</v>
      </c>
      <c r="D23" s="1264">
        <v>8</v>
      </c>
      <c r="E23" s="545"/>
      <c r="F23" s="918">
        <f t="shared" si="0"/>
        <v>8</v>
      </c>
      <c r="H23" s="1263" t="s">
        <v>35</v>
      </c>
      <c r="I23" s="1263">
        <v>37</v>
      </c>
    </row>
    <row r="24" spans="1:9" ht="24">
      <c r="A24" s="543" t="s">
        <v>37</v>
      </c>
      <c r="B24" s="546" t="s">
        <v>122</v>
      </c>
      <c r="C24" s="1264">
        <v>16</v>
      </c>
      <c r="D24" s="1264">
        <v>1</v>
      </c>
      <c r="E24" s="545"/>
      <c r="F24" s="918">
        <f t="shared" si="0"/>
        <v>1</v>
      </c>
      <c r="H24" s="1263" t="s">
        <v>37</v>
      </c>
      <c r="I24" s="1263">
        <v>16</v>
      </c>
    </row>
    <row r="25" spans="1:9">
      <c r="A25" s="543" t="s">
        <v>38</v>
      </c>
      <c r="B25" s="544" t="s">
        <v>39</v>
      </c>
      <c r="C25" s="1264">
        <v>54</v>
      </c>
      <c r="D25" s="1264">
        <v>2</v>
      </c>
      <c r="E25" s="545"/>
      <c r="F25" s="918">
        <f t="shared" si="0"/>
        <v>2</v>
      </c>
      <c r="H25" s="1263" t="s">
        <v>38</v>
      </c>
      <c r="I25" s="1263">
        <v>54</v>
      </c>
    </row>
    <row r="26" spans="1:9">
      <c r="A26" s="543" t="s">
        <v>40</v>
      </c>
      <c r="B26" s="544" t="s">
        <v>41</v>
      </c>
      <c r="C26" s="1264">
        <v>13</v>
      </c>
      <c r="D26" s="1264">
        <v>2</v>
      </c>
      <c r="E26" s="545"/>
      <c r="F26" s="918">
        <f t="shared" si="0"/>
        <v>2</v>
      </c>
      <c r="H26" s="1263" t="s">
        <v>40</v>
      </c>
      <c r="I26" s="1263">
        <v>13</v>
      </c>
    </row>
    <row r="27" spans="1:9" ht="36">
      <c r="A27" s="543" t="s">
        <v>42</v>
      </c>
      <c r="B27" s="546" t="s">
        <v>230</v>
      </c>
      <c r="C27" s="1264">
        <v>33</v>
      </c>
      <c r="D27" s="1264">
        <v>3</v>
      </c>
      <c r="E27" s="545"/>
      <c r="F27" s="918">
        <f t="shared" si="0"/>
        <v>3</v>
      </c>
      <c r="H27" s="1263" t="s">
        <v>42</v>
      </c>
      <c r="I27" s="1263">
        <v>33</v>
      </c>
    </row>
    <row r="28" spans="1:9">
      <c r="A28" s="543" t="s">
        <v>43</v>
      </c>
      <c r="B28" s="544" t="s">
        <v>44</v>
      </c>
      <c r="C28" s="1264">
        <v>29</v>
      </c>
      <c r="D28" s="1264">
        <v>1</v>
      </c>
      <c r="E28" s="545"/>
      <c r="F28" s="918">
        <f t="shared" si="0"/>
        <v>1</v>
      </c>
      <c r="H28" s="1263" t="s">
        <v>43</v>
      </c>
      <c r="I28" s="1263">
        <v>29</v>
      </c>
    </row>
    <row r="29" spans="1:9">
      <c r="A29" s="1925">
        <v>20</v>
      </c>
      <c r="B29" s="544" t="s">
        <v>320</v>
      </c>
      <c r="C29" s="1264">
        <v>6</v>
      </c>
      <c r="D29" s="1956">
        <v>1</v>
      </c>
      <c r="E29" s="1957"/>
      <c r="F29" s="918"/>
      <c r="H29" s="1263" t="s">
        <v>45</v>
      </c>
      <c r="I29" s="1263">
        <v>6</v>
      </c>
    </row>
    <row r="30" spans="1:9" ht="24">
      <c r="A30" s="543" t="s">
        <v>46</v>
      </c>
      <c r="B30" s="546" t="s">
        <v>231</v>
      </c>
      <c r="C30" s="1264">
        <v>16</v>
      </c>
      <c r="D30" s="1264"/>
      <c r="E30" s="545">
        <v>1</v>
      </c>
      <c r="F30" s="918">
        <f t="shared" si="0"/>
        <v>1</v>
      </c>
      <c r="H30" s="1263" t="s">
        <v>46</v>
      </c>
      <c r="I30" s="1263">
        <v>16</v>
      </c>
    </row>
    <row r="31" spans="1:9" ht="24">
      <c r="A31" s="543" t="s">
        <v>47</v>
      </c>
      <c r="B31" s="546" t="s">
        <v>232</v>
      </c>
      <c r="C31" s="1264">
        <v>37</v>
      </c>
      <c r="D31" s="1264"/>
      <c r="E31" s="545"/>
      <c r="F31" s="918">
        <f t="shared" si="0"/>
        <v>0</v>
      </c>
      <c r="H31" s="1263" t="s">
        <v>47</v>
      </c>
      <c r="I31" s="1263">
        <v>37</v>
      </c>
    </row>
    <row r="32" spans="1:9">
      <c r="A32" s="543" t="s">
        <v>48</v>
      </c>
      <c r="B32" s="544" t="s">
        <v>49</v>
      </c>
      <c r="C32" s="1264">
        <v>20</v>
      </c>
      <c r="D32" s="1264">
        <v>2</v>
      </c>
      <c r="E32" s="545"/>
      <c r="F32" s="918">
        <f t="shared" si="0"/>
        <v>2</v>
      </c>
      <c r="H32" s="1263" t="s">
        <v>48</v>
      </c>
      <c r="I32" s="1263">
        <v>20</v>
      </c>
    </row>
    <row r="33" spans="1:9">
      <c r="A33" s="543" t="s">
        <v>50</v>
      </c>
      <c r="B33" s="544" t="s">
        <v>51</v>
      </c>
      <c r="C33" s="1264">
        <v>7</v>
      </c>
      <c r="D33" s="1264">
        <v>1</v>
      </c>
      <c r="E33" s="545"/>
      <c r="F33" s="918">
        <f t="shared" si="0"/>
        <v>1</v>
      </c>
      <c r="H33" s="1263" t="s">
        <v>50</v>
      </c>
      <c r="I33" s="1263">
        <v>7</v>
      </c>
    </row>
    <row r="34" spans="1:9">
      <c r="A34" s="543" t="s">
        <v>52</v>
      </c>
      <c r="B34" s="544" t="s">
        <v>53</v>
      </c>
      <c r="C34" s="1264">
        <v>16</v>
      </c>
      <c r="D34" s="1264"/>
      <c r="E34" s="545"/>
      <c r="F34" s="918">
        <f t="shared" si="0"/>
        <v>0</v>
      </c>
      <c r="H34" s="1263" t="s">
        <v>52</v>
      </c>
      <c r="I34" s="1263">
        <v>16</v>
      </c>
    </row>
    <row r="35" spans="1:9">
      <c r="A35" s="543" t="s">
        <v>54</v>
      </c>
      <c r="B35" s="544" t="s">
        <v>55</v>
      </c>
      <c r="C35" s="1264">
        <v>44</v>
      </c>
      <c r="D35" s="1264"/>
      <c r="E35" s="545"/>
      <c r="F35" s="918">
        <f t="shared" si="0"/>
        <v>0</v>
      </c>
      <c r="H35" s="1263" t="s">
        <v>54</v>
      </c>
      <c r="I35" s="1263">
        <v>44</v>
      </c>
    </row>
    <row r="36" spans="1:9">
      <c r="A36" s="543" t="s">
        <v>56</v>
      </c>
      <c r="B36" s="544" t="s">
        <v>57</v>
      </c>
      <c r="C36" s="1264">
        <v>88</v>
      </c>
      <c r="D36" s="1264">
        <v>4</v>
      </c>
      <c r="E36" s="545"/>
      <c r="F36" s="918">
        <f t="shared" si="0"/>
        <v>4</v>
      </c>
      <c r="H36" s="1263" t="s">
        <v>56</v>
      </c>
      <c r="I36" s="1263">
        <v>88</v>
      </c>
    </row>
    <row r="37" spans="1:9">
      <c r="A37" s="543" t="s">
        <v>58</v>
      </c>
      <c r="B37" s="544" t="s">
        <v>59</v>
      </c>
      <c r="C37" s="1264">
        <v>23</v>
      </c>
      <c r="D37" s="1264">
        <v>1</v>
      </c>
      <c r="E37" s="545"/>
      <c r="F37" s="918">
        <f t="shared" si="0"/>
        <v>1</v>
      </c>
      <c r="H37" s="1263" t="s">
        <v>58</v>
      </c>
      <c r="I37" s="1263">
        <v>23</v>
      </c>
    </row>
    <row r="38" spans="1:9">
      <c r="A38" s="543" t="s">
        <v>60</v>
      </c>
      <c r="B38" s="544" t="s">
        <v>61</v>
      </c>
      <c r="C38" s="1264">
        <v>5</v>
      </c>
      <c r="D38" s="1264"/>
      <c r="E38" s="545"/>
      <c r="F38" s="918">
        <f t="shared" si="0"/>
        <v>0</v>
      </c>
      <c r="H38" s="1263" t="s">
        <v>60</v>
      </c>
      <c r="I38" s="1263">
        <v>5</v>
      </c>
    </row>
    <row r="39" spans="1:9">
      <c r="A39" s="543" t="s">
        <v>62</v>
      </c>
      <c r="B39" s="544" t="s">
        <v>63</v>
      </c>
      <c r="C39" s="1264">
        <v>10</v>
      </c>
      <c r="D39" s="1264"/>
      <c r="E39" s="545"/>
      <c r="F39" s="918">
        <f t="shared" si="0"/>
        <v>0</v>
      </c>
      <c r="H39" s="1263" t="s">
        <v>62</v>
      </c>
      <c r="I39" s="1263">
        <v>10</v>
      </c>
    </row>
    <row r="40" spans="1:9">
      <c r="A40" s="543" t="s">
        <v>64</v>
      </c>
      <c r="B40" s="544" t="s">
        <v>65</v>
      </c>
      <c r="C40" s="1264">
        <v>9</v>
      </c>
      <c r="D40" s="1264"/>
      <c r="E40" s="545"/>
      <c r="F40" s="918">
        <f t="shared" si="0"/>
        <v>0</v>
      </c>
      <c r="H40" s="1263" t="s">
        <v>64</v>
      </c>
      <c r="I40" s="1263">
        <v>9</v>
      </c>
    </row>
    <row r="41" spans="1:9">
      <c r="A41" s="543" t="s">
        <v>66</v>
      </c>
      <c r="B41" s="544" t="s">
        <v>67</v>
      </c>
      <c r="C41" s="1264">
        <v>8</v>
      </c>
      <c r="D41" s="1264"/>
      <c r="E41" s="545"/>
      <c r="F41" s="918">
        <f t="shared" si="0"/>
        <v>0</v>
      </c>
      <c r="H41" s="1263" t="s">
        <v>66</v>
      </c>
      <c r="I41" s="1263">
        <v>8</v>
      </c>
    </row>
    <row r="42" spans="1:9">
      <c r="A42" s="543" t="s">
        <v>68</v>
      </c>
      <c r="B42" s="544" t="s">
        <v>69</v>
      </c>
      <c r="C42" s="1264">
        <v>13</v>
      </c>
      <c r="D42" s="1264"/>
      <c r="E42" s="545"/>
      <c r="F42" s="918">
        <f t="shared" si="0"/>
        <v>0</v>
      </c>
      <c r="H42" s="1263" t="s">
        <v>68</v>
      </c>
      <c r="I42" s="1263">
        <v>13</v>
      </c>
    </row>
    <row r="43" spans="1:9">
      <c r="A43" s="543" t="s">
        <v>70</v>
      </c>
      <c r="B43" s="544" t="s">
        <v>71</v>
      </c>
      <c r="C43" s="1264">
        <v>3</v>
      </c>
      <c r="D43" s="1264">
        <v>1</v>
      </c>
      <c r="E43" s="545"/>
      <c r="F43" s="918">
        <f t="shared" si="0"/>
        <v>1</v>
      </c>
      <c r="H43" s="1263" t="s">
        <v>70</v>
      </c>
      <c r="I43" s="1263">
        <v>3</v>
      </c>
    </row>
    <row r="44" spans="1:9">
      <c r="A44" s="543" t="s">
        <v>72</v>
      </c>
      <c r="B44" s="544" t="s">
        <v>73</v>
      </c>
      <c r="C44" s="1264">
        <v>10</v>
      </c>
      <c r="D44" s="1264"/>
      <c r="E44" s="545"/>
      <c r="F44" s="918">
        <f t="shared" si="0"/>
        <v>0</v>
      </c>
      <c r="H44" s="1263" t="s">
        <v>72</v>
      </c>
      <c r="I44" s="1263">
        <v>10</v>
      </c>
    </row>
    <row r="45" spans="1:9">
      <c r="A45" s="543" t="s">
        <v>74</v>
      </c>
      <c r="B45" s="546" t="s">
        <v>75</v>
      </c>
      <c r="C45" s="1264">
        <v>8</v>
      </c>
      <c r="D45" s="1264"/>
      <c r="E45" s="545"/>
      <c r="F45" s="918">
        <f t="shared" si="0"/>
        <v>0</v>
      </c>
      <c r="H45" s="1263" t="s">
        <v>74</v>
      </c>
      <c r="I45" s="1263">
        <v>8</v>
      </c>
    </row>
    <row r="46" spans="1:9">
      <c r="A46" s="543" t="s">
        <v>76</v>
      </c>
      <c r="B46" s="547" t="s">
        <v>77</v>
      </c>
      <c r="C46" s="1264">
        <v>2</v>
      </c>
      <c r="D46" s="1264"/>
      <c r="E46" s="545"/>
      <c r="F46" s="918">
        <f t="shared" si="0"/>
        <v>0</v>
      </c>
      <c r="H46" s="1263" t="s">
        <v>76</v>
      </c>
      <c r="I46" s="1263">
        <v>2</v>
      </c>
    </row>
    <row r="47" spans="1:9">
      <c r="A47" s="543" t="s">
        <v>78</v>
      </c>
      <c r="B47" s="544" t="s">
        <v>79</v>
      </c>
      <c r="C47" s="1264">
        <v>60</v>
      </c>
      <c r="D47" s="1264">
        <v>3</v>
      </c>
      <c r="E47" s="545"/>
      <c r="F47" s="918">
        <f t="shared" si="0"/>
        <v>3</v>
      </c>
      <c r="H47" s="1263" t="s">
        <v>78</v>
      </c>
      <c r="I47" s="1263">
        <v>60</v>
      </c>
    </row>
    <row r="48" spans="1:9">
      <c r="A48" s="543" t="s">
        <v>80</v>
      </c>
      <c r="B48" s="544" t="s">
        <v>81</v>
      </c>
      <c r="C48" s="1264">
        <v>29</v>
      </c>
      <c r="D48" s="1264"/>
      <c r="E48" s="545"/>
      <c r="F48" s="918">
        <f t="shared" si="0"/>
        <v>0</v>
      </c>
      <c r="H48" s="1263" t="s">
        <v>80</v>
      </c>
      <c r="I48" s="1263">
        <v>29</v>
      </c>
    </row>
    <row r="49" spans="1:9">
      <c r="A49" s="543" t="s">
        <v>82</v>
      </c>
      <c r="B49" s="544" t="s">
        <v>83</v>
      </c>
      <c r="C49" s="1264">
        <v>23</v>
      </c>
      <c r="D49" s="1264">
        <v>1</v>
      </c>
      <c r="E49" s="545">
        <v>1</v>
      </c>
      <c r="F49" s="918">
        <f t="shared" si="0"/>
        <v>2</v>
      </c>
      <c r="H49" s="1263" t="s">
        <v>82</v>
      </c>
      <c r="I49" s="1263">
        <v>23</v>
      </c>
    </row>
    <row r="50" spans="1:9">
      <c r="A50" s="543" t="s">
        <v>84</v>
      </c>
      <c r="B50" s="544" t="s">
        <v>355</v>
      </c>
      <c r="C50" s="1264">
        <v>20</v>
      </c>
      <c r="D50" s="1264">
        <v>2</v>
      </c>
      <c r="E50" s="545"/>
      <c r="F50" s="918">
        <f t="shared" si="0"/>
        <v>2</v>
      </c>
      <c r="H50" s="1263" t="s">
        <v>84</v>
      </c>
      <c r="I50" s="1263">
        <v>20</v>
      </c>
    </row>
    <row r="51" spans="1:9">
      <c r="A51" s="543" t="s">
        <v>85</v>
      </c>
      <c r="B51" s="544" t="s">
        <v>86</v>
      </c>
      <c r="C51" s="1264">
        <v>20</v>
      </c>
      <c r="D51" s="1264"/>
      <c r="E51" s="545"/>
      <c r="F51" s="918">
        <f t="shared" si="0"/>
        <v>0</v>
      </c>
      <c r="H51" s="1263" t="s">
        <v>85</v>
      </c>
      <c r="I51" s="1263">
        <v>20</v>
      </c>
    </row>
    <row r="52" spans="1:9">
      <c r="A52" s="543" t="s">
        <v>87</v>
      </c>
      <c r="B52" s="544" t="s">
        <v>88</v>
      </c>
      <c r="C52" s="1264">
        <v>16</v>
      </c>
      <c r="D52" s="1264"/>
      <c r="E52" s="545"/>
      <c r="F52" s="918">
        <f t="shared" si="0"/>
        <v>0</v>
      </c>
      <c r="H52" s="1263" t="s">
        <v>87</v>
      </c>
      <c r="I52" s="1263">
        <v>16</v>
      </c>
    </row>
    <row r="53" spans="1:9">
      <c r="A53" s="543" t="s">
        <v>89</v>
      </c>
      <c r="B53" s="544" t="s">
        <v>90</v>
      </c>
      <c r="C53" s="1264">
        <v>16</v>
      </c>
      <c r="D53" s="1264"/>
      <c r="E53" s="545"/>
      <c r="F53" s="918">
        <f t="shared" si="0"/>
        <v>0</v>
      </c>
      <c r="H53" s="1263" t="s">
        <v>89</v>
      </c>
      <c r="I53" s="1263">
        <v>16</v>
      </c>
    </row>
    <row r="54" spans="1:9">
      <c r="A54" s="543" t="s">
        <v>91</v>
      </c>
      <c r="B54" s="544" t="s">
        <v>92</v>
      </c>
      <c r="C54" s="1264">
        <v>17</v>
      </c>
      <c r="D54" s="1264"/>
      <c r="E54" s="545"/>
      <c r="F54" s="918">
        <f t="shared" si="0"/>
        <v>0</v>
      </c>
      <c r="H54" s="1263" t="s">
        <v>91</v>
      </c>
      <c r="I54" s="1263">
        <v>17</v>
      </c>
    </row>
    <row r="55" spans="1:9">
      <c r="A55" s="543" t="s">
        <v>93</v>
      </c>
      <c r="B55" s="544" t="s">
        <v>94</v>
      </c>
      <c r="C55" s="1264">
        <v>7</v>
      </c>
      <c r="D55" s="1264"/>
      <c r="E55" s="545"/>
      <c r="F55" s="918">
        <f t="shared" si="0"/>
        <v>0</v>
      </c>
      <c r="H55" s="1263" t="s">
        <v>93</v>
      </c>
      <c r="I55" s="1263">
        <v>7</v>
      </c>
    </row>
    <row r="56" spans="1:9">
      <c r="A56" s="543" t="s">
        <v>95</v>
      </c>
      <c r="B56" s="544" t="s">
        <v>96</v>
      </c>
      <c r="C56" s="1264">
        <v>4</v>
      </c>
      <c r="D56" s="1264"/>
      <c r="E56" s="545"/>
      <c r="F56" s="918">
        <f t="shared" si="0"/>
        <v>0</v>
      </c>
      <c r="H56" s="1263" t="s">
        <v>95</v>
      </c>
      <c r="I56" s="1263">
        <v>4</v>
      </c>
    </row>
    <row r="57" spans="1:9">
      <c r="A57" s="543" t="s">
        <v>97</v>
      </c>
      <c r="B57" s="544" t="s">
        <v>98</v>
      </c>
      <c r="C57" s="1264">
        <v>39</v>
      </c>
      <c r="D57" s="1264">
        <v>2</v>
      </c>
      <c r="E57" s="545"/>
      <c r="F57" s="918">
        <f t="shared" si="0"/>
        <v>2</v>
      </c>
      <c r="H57" s="1263" t="s">
        <v>97</v>
      </c>
      <c r="I57" s="1263">
        <v>39</v>
      </c>
    </row>
    <row r="58" spans="1:9">
      <c r="A58" s="543" t="s">
        <v>99</v>
      </c>
      <c r="B58" s="544" t="s">
        <v>100</v>
      </c>
      <c r="C58" s="1264">
        <v>32</v>
      </c>
      <c r="D58" s="1264">
        <v>2</v>
      </c>
      <c r="E58" s="545"/>
      <c r="F58" s="918">
        <f t="shared" si="0"/>
        <v>2</v>
      </c>
      <c r="H58" s="1263" t="s">
        <v>99</v>
      </c>
      <c r="I58" s="1263">
        <v>32</v>
      </c>
    </row>
    <row r="59" spans="1:9">
      <c r="A59" s="688" t="s">
        <v>142</v>
      </c>
      <c r="B59" s="544" t="s">
        <v>117</v>
      </c>
      <c r="C59" s="1264">
        <v>1</v>
      </c>
      <c r="D59" s="1264"/>
      <c r="E59" s="545"/>
      <c r="F59" s="918">
        <f t="shared" si="0"/>
        <v>0</v>
      </c>
      <c r="H59" s="1263" t="s">
        <v>142</v>
      </c>
      <c r="I59" s="1263">
        <v>1</v>
      </c>
    </row>
    <row r="60" spans="1:9">
      <c r="A60" s="543" t="s">
        <v>101</v>
      </c>
      <c r="B60" s="544" t="s">
        <v>102</v>
      </c>
      <c r="C60" s="1264">
        <v>1</v>
      </c>
      <c r="D60" s="1264"/>
      <c r="E60" s="545"/>
      <c r="F60" s="918">
        <f t="shared" si="0"/>
        <v>0</v>
      </c>
      <c r="H60" s="1263" t="s">
        <v>101</v>
      </c>
      <c r="I60" s="1263">
        <v>1</v>
      </c>
    </row>
    <row r="61" spans="1:9">
      <c r="A61" s="548" t="s">
        <v>103</v>
      </c>
      <c r="B61" s="549" t="s">
        <v>104</v>
      </c>
      <c r="C61" s="1264">
        <v>34</v>
      </c>
      <c r="D61" s="1264">
        <v>6</v>
      </c>
      <c r="E61" s="545"/>
      <c r="F61" s="918">
        <f t="shared" si="0"/>
        <v>6</v>
      </c>
      <c r="H61" s="1263" t="s">
        <v>103</v>
      </c>
      <c r="I61" s="1263">
        <v>34</v>
      </c>
    </row>
    <row r="62" spans="1:9">
      <c r="A62" s="688" t="s">
        <v>578</v>
      </c>
      <c r="B62" s="544" t="s">
        <v>200</v>
      </c>
      <c r="C62" s="1264">
        <v>2</v>
      </c>
      <c r="D62" s="1264"/>
      <c r="E62" s="545"/>
      <c r="F62" s="918">
        <f t="shared" si="0"/>
        <v>0</v>
      </c>
      <c r="H62" s="1263" t="s">
        <v>578</v>
      </c>
      <c r="I62" s="1263">
        <v>2</v>
      </c>
    </row>
    <row r="63" spans="1:9">
      <c r="A63" s="543" t="s">
        <v>517</v>
      </c>
      <c r="B63" s="544" t="s">
        <v>518</v>
      </c>
      <c r="C63" s="1264">
        <v>9</v>
      </c>
      <c r="D63" s="1264">
        <v>1</v>
      </c>
      <c r="E63" s="545"/>
      <c r="F63" s="918">
        <f t="shared" si="0"/>
        <v>1</v>
      </c>
      <c r="H63" s="1263" t="s">
        <v>517</v>
      </c>
      <c r="I63" s="1263">
        <v>9</v>
      </c>
    </row>
    <row r="64" spans="1:9">
      <c r="A64" s="543" t="s">
        <v>519</v>
      </c>
      <c r="B64" s="544" t="s">
        <v>520</v>
      </c>
      <c r="C64" s="1264">
        <v>23</v>
      </c>
      <c r="D64" s="1264">
        <v>2</v>
      </c>
      <c r="E64" s="545"/>
      <c r="F64" s="912">
        <f t="shared" si="0"/>
        <v>2</v>
      </c>
      <c r="H64" s="1263" t="s">
        <v>519</v>
      </c>
      <c r="I64" s="1263">
        <v>23</v>
      </c>
    </row>
    <row r="65" spans="1:9">
      <c r="A65" s="543" t="s">
        <v>521</v>
      </c>
      <c r="B65" s="544" t="s">
        <v>522</v>
      </c>
      <c r="C65" s="1265">
        <v>9</v>
      </c>
      <c r="D65" s="1265"/>
      <c r="E65" s="545"/>
      <c r="F65" s="912">
        <f t="shared" si="0"/>
        <v>0</v>
      </c>
      <c r="H65" s="1263" t="s">
        <v>521</v>
      </c>
      <c r="I65" s="1263">
        <v>9</v>
      </c>
    </row>
    <row r="66" spans="1:9" ht="13.8" thickBot="1">
      <c r="A66" s="550"/>
      <c r="B66" s="551" t="s">
        <v>105</v>
      </c>
      <c r="C66" s="909">
        <f>SUM(C10:C65)</f>
        <v>1279</v>
      </c>
      <c r="D66" s="910">
        <f>SUM(D10:D65)</f>
        <v>118</v>
      </c>
      <c r="E66" s="910">
        <f>SUM(E10:E65)</f>
        <v>4</v>
      </c>
      <c r="F66" s="911">
        <f t="shared" si="0"/>
        <v>122</v>
      </c>
    </row>
    <row r="67" spans="1:9" ht="13.8" thickBot="1">
      <c r="A67" s="552" t="s">
        <v>956</v>
      </c>
      <c r="B67" s="553"/>
      <c r="C67" s="554"/>
      <c r="D67" s="1266">
        <f>D66/$C$66</f>
        <v>9.2259577795152467E-2</v>
      </c>
      <c r="E67" s="1267">
        <f>E66/$C$66</f>
        <v>3.1274433150899139E-3</v>
      </c>
      <c r="F67" s="1267">
        <f>F66/$C$66</f>
        <v>9.5387021110242373E-2</v>
      </c>
    </row>
  </sheetData>
  <printOptions horizontalCentered="1"/>
  <pageMargins left="0.39370078740157483" right="0.39370078740157483" top="0.39370078740157483" bottom="0.19685039370078741" header="0.31496062992125984" footer="0.31496062992125984"/>
  <pageSetup paperSize="9" scale="80" orientation="portrait" r:id="rId1"/>
  <headerFooter alignWithMargins="0">
    <oddHeader>&amp;LDGRH A1-1</oddHeader>
    <oddFooter>&amp;CPage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Feuil23">
    <tabColor rgb="FFFFFF00"/>
  </sheetPr>
  <dimension ref="A1:FU129"/>
  <sheetViews>
    <sheetView showZeros="0" zoomScale="75" zoomScaleNormal="75" workbookViewId="0">
      <selection activeCell="L18" sqref="L18"/>
    </sheetView>
  </sheetViews>
  <sheetFormatPr baseColWidth="10" defaultColWidth="11.44140625" defaultRowHeight="11.4"/>
  <cols>
    <col min="1" max="1" width="12.44140625" style="523" customWidth="1"/>
    <col min="2" max="2" width="53.6640625" style="523" customWidth="1"/>
    <col min="3" max="5" width="14.109375" style="523" customWidth="1"/>
    <col min="6" max="6" width="14.109375" style="524" customWidth="1"/>
    <col min="7" max="7" width="5.33203125" style="523" customWidth="1"/>
    <col min="8" max="8" width="5.109375" style="523" customWidth="1"/>
    <col min="9" max="9" width="4" style="523" customWidth="1"/>
    <col min="10" max="10" width="2.6640625" style="523" customWidth="1"/>
    <col min="11" max="11" width="3.5546875" style="523" customWidth="1"/>
    <col min="12" max="16384" width="11.44140625" style="523"/>
  </cols>
  <sheetData>
    <row r="1" spans="1:137" ht="15" customHeight="1"/>
    <row r="2" spans="1:137" s="529" customFormat="1" ht="24" customHeight="1">
      <c r="A2" s="2072" t="str">
        <f>'fiche technique'!A5</f>
        <v>Bilan de la campagne 2014 de recrutement et d'affectation des professeurs des universités (session synchronisée - ANTEE)</v>
      </c>
      <c r="B2" s="2072"/>
      <c r="C2" s="2072"/>
      <c r="D2" s="2072"/>
      <c r="E2" s="2072"/>
      <c r="F2" s="2072"/>
    </row>
    <row r="3" spans="1:137" s="529" customFormat="1" ht="15" customHeight="1">
      <c r="A3" s="557"/>
      <c r="B3" s="557"/>
      <c r="C3" s="557"/>
      <c r="D3" s="557"/>
      <c r="E3" s="557"/>
      <c r="F3" s="558"/>
    </row>
    <row r="4" spans="1:137" s="529" customFormat="1" ht="19.5" customHeight="1">
      <c r="A4" s="532" t="s">
        <v>106</v>
      </c>
      <c r="B4" s="532"/>
      <c r="C4" s="532"/>
      <c r="D4" s="532"/>
      <c r="E4" s="532"/>
      <c r="F4" s="533"/>
    </row>
    <row r="5" spans="1:137" s="529" customFormat="1" ht="19.5" customHeight="1">
      <c r="A5" s="532" t="s">
        <v>330</v>
      </c>
      <c r="B5" s="532"/>
      <c r="C5" s="532"/>
      <c r="D5" s="532"/>
      <c r="E5" s="532"/>
      <c r="F5" s="533"/>
    </row>
    <row r="6" spans="1:137" ht="15" customHeight="1">
      <c r="A6" s="525"/>
      <c r="B6" s="525"/>
      <c r="C6" s="525"/>
      <c r="D6" s="525"/>
      <c r="E6" s="525"/>
      <c r="F6" s="525"/>
    </row>
    <row r="7" spans="1:137" s="529" customFormat="1" ht="19.5" customHeight="1">
      <c r="A7" s="557" t="s">
        <v>991</v>
      </c>
      <c r="B7" s="559"/>
      <c r="C7" s="557"/>
      <c r="D7" s="557"/>
      <c r="E7" s="557"/>
      <c r="F7" s="558"/>
    </row>
    <row r="8" spans="1:137" ht="15" customHeight="1" thickBot="1">
      <c r="A8" s="560"/>
      <c r="B8" s="560"/>
      <c r="C8" s="560"/>
      <c r="D8" s="560"/>
      <c r="E8" s="560"/>
      <c r="F8" s="561"/>
    </row>
    <row r="9" spans="1:137" ht="72.75" customHeight="1">
      <c r="A9" s="1891" t="s">
        <v>8</v>
      </c>
      <c r="B9" s="1895" t="s">
        <v>125</v>
      </c>
      <c r="C9" s="775" t="s">
        <v>1</v>
      </c>
      <c r="D9" s="775" t="s">
        <v>2</v>
      </c>
      <c r="E9" s="775" t="s">
        <v>3</v>
      </c>
      <c r="F9" s="1899" t="s">
        <v>226</v>
      </c>
    </row>
    <row r="10" spans="1:137" s="542" customFormat="1" ht="13.2">
      <c r="A10" s="539" t="s">
        <v>9</v>
      </c>
      <c r="B10" s="540" t="s">
        <v>10</v>
      </c>
      <c r="C10" s="541">
        <v>0</v>
      </c>
      <c r="D10" s="541"/>
      <c r="E10" s="541"/>
      <c r="F10" s="911"/>
      <c r="G10" s="525"/>
      <c r="H10" s="567"/>
      <c r="I10" s="523"/>
      <c r="J10" s="523"/>
      <c r="K10" s="523"/>
      <c r="L10" s="523"/>
      <c r="M10" s="523"/>
      <c r="N10" s="523"/>
      <c r="O10" s="523"/>
      <c r="P10" s="523"/>
      <c r="Q10" s="523"/>
      <c r="R10" s="523"/>
      <c r="S10" s="523"/>
      <c r="T10" s="523"/>
      <c r="U10" s="523"/>
      <c r="V10" s="523"/>
      <c r="W10" s="523"/>
      <c r="X10" s="523"/>
      <c r="Y10" s="523"/>
      <c r="Z10" s="523"/>
      <c r="AA10" s="523"/>
      <c r="AB10" s="523"/>
      <c r="AC10" s="523"/>
      <c r="AD10" s="523"/>
      <c r="AE10" s="523"/>
      <c r="AF10" s="523"/>
      <c r="AG10" s="523"/>
      <c r="AH10" s="523"/>
      <c r="AI10" s="523"/>
      <c r="AJ10" s="523"/>
      <c r="AK10" s="523"/>
      <c r="AL10" s="523"/>
      <c r="AM10" s="523"/>
      <c r="AN10" s="523"/>
      <c r="AO10" s="523"/>
      <c r="AP10" s="523"/>
      <c r="AQ10" s="523"/>
      <c r="AR10" s="523"/>
      <c r="AS10" s="523"/>
      <c r="AT10" s="523"/>
      <c r="AU10" s="523"/>
      <c r="AV10" s="523"/>
      <c r="AW10" s="523"/>
      <c r="AX10" s="523"/>
      <c r="AY10" s="523"/>
      <c r="AZ10" s="523"/>
      <c r="BA10" s="523"/>
      <c r="BB10" s="523"/>
      <c r="BC10" s="523"/>
      <c r="BD10" s="523"/>
      <c r="BE10" s="523"/>
      <c r="BF10" s="523"/>
      <c r="BG10" s="523"/>
      <c r="BH10" s="523"/>
      <c r="BI10" s="523"/>
      <c r="BJ10" s="523"/>
      <c r="BK10" s="523"/>
      <c r="BL10" s="523"/>
      <c r="BM10" s="523"/>
      <c r="BN10" s="523"/>
      <c r="BO10" s="523"/>
      <c r="BP10" s="523"/>
      <c r="BQ10" s="523"/>
      <c r="BR10" s="523"/>
      <c r="BS10" s="523"/>
      <c r="BT10" s="523"/>
      <c r="BU10" s="523"/>
      <c r="BV10" s="523"/>
      <c r="BW10" s="523"/>
      <c r="BX10" s="523"/>
      <c r="BY10" s="523"/>
      <c r="BZ10" s="523"/>
      <c r="CA10" s="523"/>
      <c r="CB10" s="523"/>
      <c r="CC10" s="523"/>
      <c r="CD10" s="523"/>
      <c r="CE10" s="523"/>
      <c r="CF10" s="523"/>
      <c r="CG10" s="523"/>
      <c r="CH10" s="523"/>
      <c r="CI10" s="523"/>
      <c r="CJ10" s="523"/>
      <c r="CK10" s="523"/>
      <c r="CL10" s="523"/>
      <c r="CM10" s="523"/>
      <c r="CN10" s="523"/>
      <c r="CO10" s="523"/>
      <c r="CP10" s="523"/>
      <c r="CQ10" s="523"/>
      <c r="CR10" s="523"/>
      <c r="CS10" s="523"/>
      <c r="CT10" s="523"/>
      <c r="CU10" s="523"/>
      <c r="CV10" s="523"/>
      <c r="CW10" s="523"/>
      <c r="CX10" s="523"/>
      <c r="CY10" s="523"/>
      <c r="CZ10" s="523"/>
      <c r="DA10" s="523"/>
      <c r="DB10" s="523"/>
      <c r="DC10" s="523"/>
      <c r="DD10" s="523"/>
      <c r="DE10" s="523"/>
      <c r="DF10" s="523"/>
      <c r="DG10" s="523"/>
      <c r="DH10" s="523"/>
      <c r="DI10" s="523"/>
      <c r="DJ10" s="523"/>
      <c r="DK10" s="523"/>
      <c r="DL10" s="523"/>
      <c r="DM10" s="523"/>
      <c r="DN10" s="523"/>
      <c r="DO10" s="523"/>
      <c r="DP10" s="523"/>
      <c r="DQ10" s="523"/>
      <c r="DR10" s="523"/>
      <c r="DS10" s="523"/>
      <c r="DT10" s="523"/>
      <c r="DU10" s="523"/>
      <c r="DV10" s="523"/>
      <c r="DW10" s="523"/>
      <c r="DX10" s="523"/>
      <c r="DY10" s="523"/>
      <c r="DZ10" s="523"/>
      <c r="EA10" s="523"/>
      <c r="EB10" s="523"/>
      <c r="EC10" s="523"/>
      <c r="ED10" s="523"/>
      <c r="EE10" s="523"/>
      <c r="EF10" s="523"/>
      <c r="EG10" s="523"/>
    </row>
    <row r="11" spans="1:137" s="542" customFormat="1" ht="13.2">
      <c r="A11" s="543" t="s">
        <v>11</v>
      </c>
      <c r="B11" s="544" t="s">
        <v>12</v>
      </c>
      <c r="C11" s="545"/>
      <c r="D11" s="545"/>
      <c r="E11" s="545"/>
      <c r="F11" s="912"/>
      <c r="G11" s="525"/>
      <c r="H11" s="567"/>
      <c r="I11" s="523"/>
      <c r="J11" s="523"/>
      <c r="K11" s="523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  <c r="DT11" s="523"/>
      <c r="DU11" s="523"/>
      <c r="DV11" s="523"/>
      <c r="DW11" s="523"/>
      <c r="DX11" s="523"/>
      <c r="DY11" s="523"/>
      <c r="DZ11" s="523"/>
      <c r="EA11" s="523"/>
      <c r="EB11" s="523"/>
      <c r="EC11" s="523"/>
      <c r="ED11" s="523"/>
      <c r="EE11" s="523"/>
      <c r="EF11" s="523"/>
      <c r="EG11" s="523"/>
    </row>
    <row r="12" spans="1:137" s="542" customFormat="1" ht="13.2">
      <c r="A12" s="543" t="s">
        <v>13</v>
      </c>
      <c r="B12" s="544" t="s">
        <v>14</v>
      </c>
      <c r="C12" s="545"/>
      <c r="D12" s="545"/>
      <c r="E12" s="545"/>
      <c r="F12" s="912"/>
      <c r="G12" s="525"/>
      <c r="H12" s="567"/>
      <c r="I12" s="523"/>
      <c r="J12" s="523"/>
      <c r="K12" s="523"/>
      <c r="L12" s="523"/>
      <c r="M12" s="523"/>
      <c r="N12" s="523"/>
      <c r="O12" s="523"/>
      <c r="P12" s="523"/>
      <c r="Q12" s="523"/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523"/>
      <c r="AW12" s="523"/>
      <c r="AX12" s="523"/>
      <c r="AY12" s="523"/>
      <c r="AZ12" s="523"/>
      <c r="BA12" s="523"/>
      <c r="BB12" s="523"/>
      <c r="BC12" s="523"/>
      <c r="BD12" s="523"/>
      <c r="BE12" s="523"/>
      <c r="BF12" s="523"/>
      <c r="BG12" s="523"/>
      <c r="BH12" s="523"/>
      <c r="BI12" s="523"/>
      <c r="BJ12" s="523"/>
      <c r="BK12" s="523"/>
      <c r="BL12" s="523"/>
      <c r="BM12" s="523"/>
      <c r="BN12" s="523"/>
      <c r="BO12" s="523"/>
      <c r="BP12" s="523"/>
      <c r="BQ12" s="523"/>
      <c r="BR12" s="523"/>
      <c r="BS12" s="523"/>
      <c r="BT12" s="523"/>
      <c r="BU12" s="523"/>
      <c r="BV12" s="523"/>
      <c r="BW12" s="523"/>
      <c r="BX12" s="523"/>
      <c r="BY12" s="523"/>
      <c r="BZ12" s="523"/>
      <c r="CA12" s="523"/>
      <c r="CB12" s="523"/>
      <c r="CC12" s="523"/>
      <c r="CD12" s="523"/>
      <c r="CE12" s="523"/>
      <c r="CF12" s="523"/>
      <c r="CG12" s="523"/>
      <c r="CH12" s="523"/>
      <c r="CI12" s="523"/>
      <c r="CJ12" s="523"/>
      <c r="CK12" s="523"/>
      <c r="CL12" s="523"/>
      <c r="CM12" s="523"/>
      <c r="CN12" s="523"/>
      <c r="CO12" s="523"/>
      <c r="CP12" s="523"/>
      <c r="CQ12" s="523"/>
      <c r="CR12" s="523"/>
      <c r="CS12" s="523"/>
      <c r="CT12" s="523"/>
      <c r="CU12" s="523"/>
      <c r="CV12" s="523"/>
      <c r="CW12" s="523"/>
      <c r="CX12" s="523"/>
      <c r="CY12" s="523"/>
      <c r="CZ12" s="523"/>
      <c r="DA12" s="523"/>
      <c r="DB12" s="523"/>
      <c r="DC12" s="523"/>
      <c r="DD12" s="523"/>
      <c r="DE12" s="523"/>
      <c r="DF12" s="523"/>
      <c r="DG12" s="523"/>
      <c r="DH12" s="523"/>
      <c r="DI12" s="523"/>
      <c r="DJ12" s="523"/>
      <c r="DK12" s="523"/>
      <c r="DL12" s="523"/>
      <c r="DM12" s="523"/>
      <c r="DN12" s="523"/>
      <c r="DO12" s="523"/>
      <c r="DP12" s="523"/>
      <c r="DQ12" s="523"/>
      <c r="DR12" s="523"/>
      <c r="DS12" s="523"/>
      <c r="DT12" s="523"/>
      <c r="DU12" s="523"/>
      <c r="DV12" s="523"/>
      <c r="DW12" s="523"/>
      <c r="DX12" s="523"/>
      <c r="DY12" s="523"/>
      <c r="DZ12" s="523"/>
      <c r="EA12" s="523"/>
      <c r="EB12" s="523"/>
      <c r="EC12" s="523"/>
      <c r="ED12" s="523"/>
      <c r="EE12" s="523"/>
      <c r="EF12" s="523"/>
      <c r="EG12" s="523"/>
    </row>
    <row r="13" spans="1:137" s="542" customFormat="1" ht="13.2">
      <c r="A13" s="543" t="s">
        <v>15</v>
      </c>
      <c r="B13" s="544" t="s">
        <v>16</v>
      </c>
      <c r="C13" s="545"/>
      <c r="D13" s="545"/>
      <c r="E13" s="545"/>
      <c r="F13" s="918"/>
      <c r="G13" s="525"/>
      <c r="H13" s="567"/>
      <c r="I13" s="523"/>
      <c r="J13" s="523"/>
      <c r="K13" s="523"/>
      <c r="L13" s="523"/>
      <c r="M13" s="523"/>
      <c r="N13" s="523"/>
      <c r="O13" s="523"/>
      <c r="P13" s="523"/>
      <c r="Q13"/>
      <c r="R13"/>
      <c r="S13"/>
      <c r="T13"/>
      <c r="U13" s="523"/>
      <c r="V13" s="523"/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23"/>
      <c r="AW13" s="523"/>
      <c r="AX13" s="523"/>
      <c r="AY13" s="523"/>
      <c r="AZ13" s="523"/>
      <c r="BA13" s="523"/>
      <c r="BB13" s="523"/>
      <c r="BC13" s="523"/>
      <c r="BD13" s="523"/>
      <c r="BE13" s="523"/>
      <c r="BF13" s="523"/>
      <c r="BG13" s="523"/>
      <c r="BH13" s="523"/>
      <c r="BI13" s="523"/>
      <c r="BJ13" s="523"/>
      <c r="BK13" s="523"/>
      <c r="BL13" s="523"/>
      <c r="BM13" s="523"/>
      <c r="BN13" s="523"/>
      <c r="BO13" s="523"/>
      <c r="BP13" s="523"/>
      <c r="BQ13" s="523"/>
      <c r="BR13" s="523"/>
      <c r="BS13" s="523"/>
      <c r="BT13" s="523"/>
      <c r="BU13" s="523"/>
      <c r="BV13" s="523"/>
      <c r="BW13" s="523"/>
      <c r="BX13" s="523"/>
      <c r="BY13" s="523"/>
      <c r="BZ13" s="523"/>
      <c r="CA13" s="523"/>
      <c r="CB13" s="523"/>
      <c r="CC13" s="523"/>
      <c r="CD13" s="523"/>
      <c r="CE13" s="523"/>
      <c r="CF13" s="523"/>
      <c r="CG13" s="523"/>
      <c r="CH13" s="523"/>
      <c r="CI13" s="523"/>
      <c r="CJ13" s="523"/>
      <c r="CK13" s="523"/>
      <c r="CL13" s="523"/>
      <c r="CM13" s="523"/>
      <c r="CN13" s="523"/>
      <c r="CO13" s="523"/>
      <c r="CP13" s="523"/>
      <c r="CQ13" s="523"/>
      <c r="CR13" s="523"/>
      <c r="CS13" s="523"/>
      <c r="CT13" s="523"/>
      <c r="CU13" s="523"/>
      <c r="CV13" s="523"/>
      <c r="CW13" s="523"/>
      <c r="CX13" s="523"/>
      <c r="CY13" s="523"/>
      <c r="CZ13" s="523"/>
      <c r="DA13" s="523"/>
      <c r="DB13" s="523"/>
      <c r="DC13" s="523"/>
      <c r="DD13" s="523"/>
      <c r="DE13" s="523"/>
      <c r="DF13" s="523"/>
      <c r="DG13" s="523"/>
      <c r="DH13" s="523"/>
      <c r="DI13" s="523"/>
      <c r="DJ13" s="523"/>
      <c r="DK13" s="523"/>
      <c r="DL13" s="523"/>
      <c r="DM13" s="523"/>
      <c r="DN13" s="523"/>
      <c r="DO13" s="523"/>
      <c r="DP13" s="523"/>
      <c r="DQ13" s="523"/>
      <c r="DR13" s="523"/>
      <c r="DS13" s="523"/>
      <c r="DT13" s="523"/>
      <c r="DU13" s="523"/>
      <c r="DV13" s="523"/>
      <c r="DW13" s="523"/>
      <c r="DX13" s="523"/>
      <c r="DY13" s="523"/>
      <c r="DZ13" s="523"/>
      <c r="EA13" s="523"/>
      <c r="EB13" s="523"/>
      <c r="EC13" s="523"/>
      <c r="ED13" s="523"/>
      <c r="EE13" s="523"/>
      <c r="EF13" s="523"/>
      <c r="EG13" s="523"/>
    </row>
    <row r="14" spans="1:137" s="542" customFormat="1" ht="13.2">
      <c r="A14" s="543" t="s">
        <v>17</v>
      </c>
      <c r="B14" s="544" t="s">
        <v>18</v>
      </c>
      <c r="C14" s="545"/>
      <c r="D14" s="545"/>
      <c r="E14" s="545"/>
      <c r="F14" s="912"/>
      <c r="G14" s="525"/>
      <c r="H14" s="567"/>
      <c r="I14" s="523"/>
      <c r="J14" s="523"/>
      <c r="K14" s="523"/>
      <c r="L14" s="523"/>
      <c r="M14" s="523"/>
      <c r="N14" s="523"/>
      <c r="O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23"/>
      <c r="AV14" s="523"/>
      <c r="AW14" s="523"/>
      <c r="AX14" s="523"/>
      <c r="AY14" s="523"/>
      <c r="AZ14" s="523"/>
      <c r="BA14" s="523"/>
      <c r="BB14" s="523"/>
      <c r="BC14" s="523"/>
      <c r="BD14" s="523"/>
      <c r="BE14" s="523"/>
      <c r="BF14" s="523"/>
      <c r="BG14" s="523"/>
      <c r="BH14" s="523"/>
      <c r="BI14" s="523"/>
      <c r="BJ14" s="523"/>
      <c r="BK14" s="523"/>
      <c r="BL14" s="523"/>
      <c r="BM14" s="523"/>
      <c r="BN14" s="523"/>
      <c r="BO14" s="523"/>
      <c r="BP14" s="523"/>
      <c r="BQ14" s="523"/>
      <c r="BR14" s="523"/>
      <c r="BS14" s="523"/>
      <c r="BT14" s="523"/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/>
      <c r="CJ14" s="523"/>
      <c r="CK14" s="523"/>
      <c r="CL14" s="523"/>
      <c r="CM14" s="523"/>
      <c r="CN14" s="523"/>
      <c r="CO14" s="523"/>
      <c r="CP14" s="523"/>
      <c r="CQ14" s="523"/>
      <c r="CR14" s="523"/>
      <c r="CS14" s="523"/>
      <c r="CT14" s="523"/>
      <c r="CU14" s="523"/>
      <c r="CV14" s="523"/>
      <c r="CW14" s="523"/>
      <c r="CX14" s="523"/>
      <c r="CY14" s="523"/>
      <c r="CZ14" s="523"/>
      <c r="DA14" s="523"/>
      <c r="DB14" s="523"/>
      <c r="DC14" s="523"/>
      <c r="DD14" s="523"/>
      <c r="DE14" s="523"/>
      <c r="DF14" s="523"/>
      <c r="DG14" s="523"/>
      <c r="DH14" s="523"/>
      <c r="DI14" s="523"/>
      <c r="DJ14" s="523"/>
      <c r="DK14" s="523"/>
      <c r="DL14" s="523"/>
      <c r="DM14" s="523"/>
      <c r="DN14" s="523"/>
      <c r="DO14" s="523"/>
      <c r="DP14" s="523"/>
      <c r="DQ14" s="523"/>
      <c r="DR14" s="523"/>
      <c r="DS14" s="523"/>
      <c r="DT14" s="523"/>
      <c r="DU14" s="523"/>
      <c r="DV14" s="523"/>
      <c r="DW14" s="523"/>
      <c r="DX14" s="523"/>
      <c r="DY14" s="523"/>
      <c r="DZ14" s="523"/>
      <c r="EA14" s="523"/>
      <c r="EB14" s="523"/>
      <c r="EC14" s="523"/>
      <c r="ED14" s="523"/>
      <c r="EE14" s="523"/>
      <c r="EF14" s="523"/>
      <c r="EG14" s="523"/>
    </row>
    <row r="15" spans="1:137" s="542" customFormat="1" ht="13.2">
      <c r="A15" s="543" t="s">
        <v>19</v>
      </c>
      <c r="B15" s="544" t="s">
        <v>20</v>
      </c>
      <c r="C15" s="545">
        <v>0</v>
      </c>
      <c r="D15" s="545">
        <v>0</v>
      </c>
      <c r="E15" s="545"/>
      <c r="F15" s="912">
        <f>SUM(D15:E15)</f>
        <v>0</v>
      </c>
      <c r="G15" s="525"/>
      <c r="H15" s="567"/>
      <c r="I15" s="523"/>
      <c r="J15" s="523"/>
      <c r="K15" s="523"/>
      <c r="L15" s="523"/>
      <c r="M15" s="523"/>
      <c r="N15" s="523"/>
      <c r="O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23"/>
      <c r="AW15" s="523"/>
      <c r="AX15" s="523"/>
      <c r="AY15" s="523"/>
      <c r="AZ15" s="523"/>
      <c r="BA15" s="523"/>
      <c r="BB15" s="523"/>
      <c r="BC15" s="523"/>
      <c r="BD15" s="523"/>
      <c r="BE15" s="523"/>
      <c r="BF15" s="523"/>
      <c r="BG15" s="523"/>
      <c r="BH15" s="523"/>
      <c r="BI15" s="523"/>
      <c r="BJ15" s="523"/>
      <c r="BK15" s="523"/>
      <c r="BL15" s="523"/>
      <c r="BM15" s="523"/>
      <c r="BN15" s="523"/>
      <c r="BO15" s="523"/>
      <c r="BP15" s="523"/>
      <c r="BQ15" s="523"/>
      <c r="BR15" s="523"/>
      <c r="BS15" s="523"/>
      <c r="BT15" s="523"/>
      <c r="BU15" s="523"/>
      <c r="BV15" s="523"/>
      <c r="BW15" s="523"/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/>
      <c r="CJ15" s="523"/>
      <c r="CK15" s="523"/>
      <c r="CL15" s="523"/>
      <c r="CM15" s="523"/>
      <c r="CN15" s="523"/>
      <c r="CO15" s="523"/>
      <c r="CP15" s="523"/>
      <c r="CQ15" s="523"/>
      <c r="CR15" s="523"/>
      <c r="CS15" s="523"/>
      <c r="CT15" s="523"/>
      <c r="CU15" s="523"/>
      <c r="CV15" s="523"/>
      <c r="CW15" s="523"/>
      <c r="CX15" s="523"/>
      <c r="CY15" s="523"/>
      <c r="CZ15" s="523"/>
      <c r="DA15" s="523"/>
      <c r="DB15" s="523"/>
      <c r="DC15" s="523"/>
      <c r="DD15" s="523"/>
      <c r="DE15" s="523"/>
      <c r="DF15" s="523"/>
      <c r="DG15" s="523"/>
      <c r="DH15" s="523"/>
      <c r="DI15" s="523"/>
      <c r="DJ15" s="523"/>
      <c r="DK15" s="523"/>
      <c r="DL15" s="523"/>
      <c r="DM15" s="523"/>
      <c r="DN15" s="523"/>
      <c r="DO15" s="523"/>
      <c r="DP15" s="523"/>
      <c r="DQ15" s="523"/>
      <c r="DR15" s="523"/>
      <c r="DS15" s="523"/>
      <c r="DT15" s="523"/>
      <c r="DU15" s="523"/>
      <c r="DV15" s="523"/>
      <c r="DW15" s="523"/>
      <c r="DX15" s="523"/>
      <c r="DY15" s="523"/>
      <c r="DZ15" s="523"/>
      <c r="EA15" s="523"/>
      <c r="EB15" s="523"/>
      <c r="EC15" s="523"/>
      <c r="ED15" s="523"/>
      <c r="EE15" s="523"/>
      <c r="EF15" s="523"/>
      <c r="EG15" s="523"/>
    </row>
    <row r="16" spans="1:137" s="542" customFormat="1" ht="13.2">
      <c r="A16" s="543" t="s">
        <v>21</v>
      </c>
      <c r="B16" s="544" t="s">
        <v>22</v>
      </c>
      <c r="C16" s="545">
        <v>23</v>
      </c>
      <c r="D16" s="545">
        <v>2</v>
      </c>
      <c r="E16" s="545"/>
      <c r="F16" s="912">
        <f>SUM(D16:E16)</f>
        <v>2</v>
      </c>
      <c r="G16" s="525"/>
      <c r="H16" s="567" t="s">
        <v>21</v>
      </c>
      <c r="I16" s="525"/>
      <c r="J16" s="525"/>
      <c r="K16" s="525"/>
      <c r="N16" s="1210"/>
    </row>
    <row r="17" spans="1:14" s="542" customFormat="1" ht="13.2">
      <c r="A17" s="543" t="s">
        <v>23</v>
      </c>
      <c r="B17" s="544" t="s">
        <v>24</v>
      </c>
      <c r="C17" s="545">
        <v>3</v>
      </c>
      <c r="D17" s="545"/>
      <c r="E17" s="545"/>
      <c r="F17" s="912">
        <f t="shared" ref="F17:F64" si="0">SUM(D17:E17)</f>
        <v>0</v>
      </c>
      <c r="G17" s="525"/>
      <c r="H17" s="567" t="s">
        <v>23</v>
      </c>
      <c r="I17" s="525"/>
      <c r="J17" s="525"/>
      <c r="K17" s="525"/>
      <c r="N17" s="1210"/>
    </row>
    <row r="18" spans="1:14" s="542" customFormat="1" ht="13.2">
      <c r="A18" s="543" t="s">
        <v>25</v>
      </c>
      <c r="B18" s="544" t="s">
        <v>26</v>
      </c>
      <c r="C18" s="545">
        <v>18</v>
      </c>
      <c r="D18" s="545">
        <v>1</v>
      </c>
      <c r="E18" s="545"/>
      <c r="F18" s="912">
        <f t="shared" si="0"/>
        <v>1</v>
      </c>
      <c r="G18" s="525"/>
      <c r="H18" s="567" t="s">
        <v>25</v>
      </c>
      <c r="I18" s="525"/>
      <c r="J18" s="525"/>
      <c r="K18" s="525"/>
      <c r="N18" s="1210"/>
    </row>
    <row r="19" spans="1:14" s="542" customFormat="1" ht="13.2">
      <c r="A19" s="543" t="s">
        <v>27</v>
      </c>
      <c r="B19" s="544" t="s">
        <v>28</v>
      </c>
      <c r="C19" s="545">
        <v>2</v>
      </c>
      <c r="D19" s="545"/>
      <c r="E19" s="545"/>
      <c r="F19" s="912">
        <f t="shared" si="0"/>
        <v>0</v>
      </c>
      <c r="G19" s="525"/>
      <c r="H19" s="567" t="s">
        <v>27</v>
      </c>
      <c r="I19" s="525"/>
      <c r="J19" s="525"/>
      <c r="K19" s="525"/>
      <c r="N19" s="1210"/>
    </row>
    <row r="20" spans="1:14" s="542" customFormat="1" ht="13.2">
      <c r="A20" s="543" t="s">
        <v>29</v>
      </c>
      <c r="B20" s="544" t="s">
        <v>30</v>
      </c>
      <c r="C20" s="545">
        <v>26</v>
      </c>
      <c r="D20" s="545">
        <v>2</v>
      </c>
      <c r="E20" s="545"/>
      <c r="F20" s="912">
        <f t="shared" si="0"/>
        <v>2</v>
      </c>
      <c r="G20" s="525"/>
      <c r="H20" s="567" t="s">
        <v>29</v>
      </c>
      <c r="I20" s="525"/>
      <c r="J20" s="525"/>
      <c r="K20" s="525"/>
      <c r="N20" s="1210"/>
    </row>
    <row r="21" spans="1:14" s="542" customFormat="1" ht="13.2">
      <c r="A21" s="543" t="s">
        <v>31</v>
      </c>
      <c r="B21" s="544" t="s">
        <v>32</v>
      </c>
      <c r="C21" s="545">
        <v>4</v>
      </c>
      <c r="D21" s="545"/>
      <c r="E21" s="545"/>
      <c r="F21" s="912">
        <f t="shared" si="0"/>
        <v>0</v>
      </c>
      <c r="G21" s="525"/>
      <c r="H21" s="567" t="s">
        <v>31</v>
      </c>
      <c r="I21" s="525"/>
      <c r="J21" s="525"/>
      <c r="K21" s="525"/>
      <c r="N21" s="1210"/>
    </row>
    <row r="22" spans="1:14" s="542" customFormat="1" ht="24">
      <c r="A22" s="543" t="s">
        <v>35</v>
      </c>
      <c r="B22" s="546" t="s">
        <v>36</v>
      </c>
      <c r="C22" s="545">
        <v>20</v>
      </c>
      <c r="D22" s="545">
        <v>2</v>
      </c>
      <c r="E22" s="545"/>
      <c r="F22" s="912">
        <f t="shared" si="0"/>
        <v>2</v>
      </c>
      <c r="G22" s="525"/>
      <c r="H22" s="567" t="s">
        <v>35</v>
      </c>
      <c r="I22" s="525"/>
      <c r="J22" s="525"/>
      <c r="K22" s="525"/>
      <c r="N22" s="1210"/>
    </row>
    <row r="23" spans="1:14" s="542" customFormat="1" ht="24">
      <c r="A23" s="543" t="s">
        <v>37</v>
      </c>
      <c r="B23" s="546" t="s">
        <v>122</v>
      </c>
      <c r="C23" s="545">
        <v>9</v>
      </c>
      <c r="D23" s="545"/>
      <c r="E23" s="545">
        <v>1</v>
      </c>
      <c r="F23" s="912">
        <f t="shared" si="0"/>
        <v>1</v>
      </c>
      <c r="G23" s="525"/>
      <c r="H23" s="567" t="s">
        <v>37</v>
      </c>
      <c r="I23" s="525"/>
      <c r="J23" s="525"/>
      <c r="K23" s="525"/>
      <c r="N23" s="1210"/>
    </row>
    <row r="24" spans="1:14" s="542" customFormat="1" ht="13.2">
      <c r="A24" s="543" t="s">
        <v>38</v>
      </c>
      <c r="B24" s="544" t="s">
        <v>39</v>
      </c>
      <c r="C24" s="545">
        <v>36</v>
      </c>
      <c r="D24" s="545">
        <v>4</v>
      </c>
      <c r="E24" s="545"/>
      <c r="F24" s="912">
        <f t="shared" si="0"/>
        <v>4</v>
      </c>
      <c r="G24" s="525"/>
      <c r="H24" s="567" t="s">
        <v>38</v>
      </c>
      <c r="I24" s="525"/>
      <c r="J24" s="525"/>
      <c r="K24" s="525"/>
      <c r="N24" s="1210"/>
    </row>
    <row r="25" spans="1:14" s="542" customFormat="1" ht="13.2">
      <c r="A25" s="543" t="s">
        <v>40</v>
      </c>
      <c r="B25" s="544" t="s">
        <v>41</v>
      </c>
      <c r="C25" s="545">
        <v>14</v>
      </c>
      <c r="D25" s="545">
        <v>2</v>
      </c>
      <c r="E25" s="545"/>
      <c r="F25" s="912">
        <f t="shared" si="0"/>
        <v>2</v>
      </c>
      <c r="G25" s="525"/>
      <c r="H25" s="567" t="s">
        <v>40</v>
      </c>
      <c r="I25" s="525"/>
      <c r="J25" s="525"/>
      <c r="K25" s="525"/>
      <c r="N25" s="1210"/>
    </row>
    <row r="26" spans="1:14" s="542" customFormat="1" ht="36">
      <c r="A26" s="543" t="s">
        <v>42</v>
      </c>
      <c r="B26" s="546" t="s">
        <v>230</v>
      </c>
      <c r="C26" s="545">
        <v>22</v>
      </c>
      <c r="D26" s="545">
        <v>5</v>
      </c>
      <c r="E26" s="545"/>
      <c r="F26" s="912">
        <f t="shared" si="0"/>
        <v>5</v>
      </c>
      <c r="G26" s="525"/>
      <c r="H26" s="567" t="s">
        <v>42</v>
      </c>
      <c r="I26" s="525"/>
      <c r="J26" s="525"/>
      <c r="K26" s="525"/>
      <c r="N26" s="1210"/>
    </row>
    <row r="27" spans="1:14" s="542" customFormat="1" ht="13.2">
      <c r="A27" s="543" t="s">
        <v>43</v>
      </c>
      <c r="B27" s="544" t="s">
        <v>44</v>
      </c>
      <c r="C27" s="545">
        <v>23</v>
      </c>
      <c r="D27" s="545">
        <v>7</v>
      </c>
      <c r="E27" s="545"/>
      <c r="F27" s="912">
        <f t="shared" si="0"/>
        <v>7</v>
      </c>
      <c r="G27" s="525"/>
      <c r="H27" s="567" t="s">
        <v>43</v>
      </c>
      <c r="I27" s="525"/>
      <c r="J27" s="525"/>
      <c r="K27" s="525"/>
      <c r="N27" s="1210"/>
    </row>
    <row r="28" spans="1:14" s="542" customFormat="1" ht="13.2">
      <c r="A28" s="543" t="s">
        <v>45</v>
      </c>
      <c r="B28" s="544" t="s">
        <v>320</v>
      </c>
      <c r="C28" s="545">
        <v>6</v>
      </c>
      <c r="D28" s="545"/>
      <c r="E28" s="545"/>
      <c r="F28" s="912">
        <f t="shared" si="0"/>
        <v>0</v>
      </c>
      <c r="G28" s="525"/>
      <c r="H28" s="567" t="s">
        <v>45</v>
      </c>
      <c r="I28" s="525"/>
      <c r="J28" s="525"/>
      <c r="K28" s="525"/>
      <c r="N28" s="1210"/>
    </row>
    <row r="29" spans="1:14" s="542" customFormat="1" ht="24">
      <c r="A29" s="1925">
        <v>21</v>
      </c>
      <c r="B29" s="546" t="s">
        <v>231</v>
      </c>
      <c r="C29" s="545">
        <v>16</v>
      </c>
      <c r="D29" s="1958">
        <v>2</v>
      </c>
      <c r="E29" s="1957"/>
      <c r="F29" s="912">
        <v>2</v>
      </c>
      <c r="G29" s="525"/>
      <c r="H29" s="567" t="s">
        <v>46</v>
      </c>
      <c r="I29" s="525"/>
      <c r="J29" s="525"/>
      <c r="K29" s="525"/>
      <c r="N29" s="1210"/>
    </row>
    <row r="30" spans="1:14" s="542" customFormat="1" ht="24">
      <c r="A30" s="543" t="s">
        <v>47</v>
      </c>
      <c r="B30" s="546" t="s">
        <v>232</v>
      </c>
      <c r="C30" s="545">
        <v>19</v>
      </c>
      <c r="D30" s="545">
        <v>3</v>
      </c>
      <c r="E30" s="545"/>
      <c r="F30" s="912">
        <f t="shared" si="0"/>
        <v>3</v>
      </c>
      <c r="G30" s="525"/>
      <c r="H30" s="567" t="s">
        <v>47</v>
      </c>
      <c r="I30" s="525"/>
      <c r="J30" s="525"/>
      <c r="K30" s="525"/>
      <c r="N30" s="1210"/>
    </row>
    <row r="31" spans="1:14" s="542" customFormat="1" ht="13.2">
      <c r="A31" s="543" t="s">
        <v>48</v>
      </c>
      <c r="B31" s="544" t="s">
        <v>49</v>
      </c>
      <c r="C31" s="545">
        <v>12</v>
      </c>
      <c r="D31" s="545">
        <v>2</v>
      </c>
      <c r="E31" s="545"/>
      <c r="F31" s="912">
        <f t="shared" si="0"/>
        <v>2</v>
      </c>
      <c r="G31" s="525"/>
      <c r="H31" s="567" t="s">
        <v>48</v>
      </c>
      <c r="I31" s="525"/>
      <c r="J31" s="525"/>
      <c r="K31" s="525"/>
      <c r="N31" s="1210"/>
    </row>
    <row r="32" spans="1:14" s="542" customFormat="1" ht="13.2">
      <c r="A32" s="543" t="s">
        <v>50</v>
      </c>
      <c r="B32" s="544" t="s">
        <v>51</v>
      </c>
      <c r="C32" s="545">
        <v>8</v>
      </c>
      <c r="D32" s="545"/>
      <c r="E32" s="545"/>
      <c r="F32" s="912">
        <f t="shared" si="0"/>
        <v>0</v>
      </c>
      <c r="G32" s="525"/>
      <c r="H32" s="567" t="s">
        <v>50</v>
      </c>
      <c r="I32" s="525"/>
      <c r="J32" s="525"/>
      <c r="K32" s="525"/>
      <c r="N32" s="1210"/>
    </row>
    <row r="33" spans="1:14" s="542" customFormat="1" ht="13.2">
      <c r="A33" s="543" t="s">
        <v>52</v>
      </c>
      <c r="B33" s="544" t="s">
        <v>53</v>
      </c>
      <c r="C33" s="545">
        <v>13</v>
      </c>
      <c r="D33" s="545">
        <v>2</v>
      </c>
      <c r="E33" s="545"/>
      <c r="F33" s="912">
        <f t="shared" si="0"/>
        <v>2</v>
      </c>
      <c r="G33" s="525"/>
      <c r="H33" s="567" t="s">
        <v>52</v>
      </c>
      <c r="I33" s="525"/>
      <c r="J33" s="525"/>
      <c r="K33" s="525"/>
      <c r="N33" s="1210"/>
    </row>
    <row r="34" spans="1:14" s="542" customFormat="1" ht="13.2">
      <c r="A34" s="543" t="s">
        <v>54</v>
      </c>
      <c r="B34" s="544" t="s">
        <v>55</v>
      </c>
      <c r="C34" s="545">
        <v>24</v>
      </c>
      <c r="D34" s="545"/>
      <c r="E34" s="545"/>
      <c r="F34" s="912">
        <f t="shared" si="0"/>
        <v>0</v>
      </c>
      <c r="G34" s="525"/>
      <c r="H34" s="567" t="s">
        <v>54</v>
      </c>
      <c r="I34" s="525"/>
      <c r="J34" s="525"/>
      <c r="K34" s="525"/>
      <c r="N34" s="1210"/>
    </row>
    <row r="35" spans="1:14" s="542" customFormat="1" ht="13.2">
      <c r="A35" s="543" t="s">
        <v>56</v>
      </c>
      <c r="B35" s="544" t="s">
        <v>57</v>
      </c>
      <c r="C35" s="545">
        <v>30</v>
      </c>
      <c r="D35" s="545">
        <v>2</v>
      </c>
      <c r="E35" s="545"/>
      <c r="F35" s="912">
        <f t="shared" si="0"/>
        <v>2</v>
      </c>
      <c r="G35" s="525"/>
      <c r="H35" s="567" t="s">
        <v>56</v>
      </c>
      <c r="I35" s="525"/>
      <c r="J35" s="525"/>
      <c r="K35" s="525"/>
      <c r="N35" s="1210"/>
    </row>
    <row r="36" spans="1:14" s="542" customFormat="1" ht="13.2">
      <c r="A36" s="543" t="s">
        <v>58</v>
      </c>
      <c r="B36" s="544" t="s">
        <v>59</v>
      </c>
      <c r="C36" s="545">
        <v>9</v>
      </c>
      <c r="D36" s="545"/>
      <c r="E36" s="545"/>
      <c r="F36" s="912">
        <f t="shared" si="0"/>
        <v>0</v>
      </c>
      <c r="G36" s="525"/>
      <c r="H36" s="567" t="s">
        <v>58</v>
      </c>
      <c r="I36" s="525"/>
      <c r="J36" s="525"/>
      <c r="K36" s="525"/>
      <c r="N36" s="1210"/>
    </row>
    <row r="37" spans="1:14" s="542" customFormat="1" ht="13.2">
      <c r="A37" s="543" t="s">
        <v>60</v>
      </c>
      <c r="B37" s="544" t="s">
        <v>61</v>
      </c>
      <c r="C37" s="545">
        <v>5</v>
      </c>
      <c r="D37" s="545"/>
      <c r="E37" s="545"/>
      <c r="F37" s="912">
        <f t="shared" si="0"/>
        <v>0</v>
      </c>
      <c r="G37" s="525"/>
      <c r="H37" s="567" t="s">
        <v>60</v>
      </c>
      <c r="I37" s="525"/>
      <c r="J37" s="525"/>
      <c r="K37" s="525"/>
      <c r="N37" s="1210"/>
    </row>
    <row r="38" spans="1:14" s="542" customFormat="1" ht="13.2">
      <c r="A38" s="543" t="s">
        <v>62</v>
      </c>
      <c r="B38" s="544" t="s">
        <v>63</v>
      </c>
      <c r="C38" s="545">
        <v>7</v>
      </c>
      <c r="D38" s="545"/>
      <c r="E38" s="545"/>
      <c r="F38" s="912">
        <f t="shared" si="0"/>
        <v>0</v>
      </c>
      <c r="G38" s="525"/>
      <c r="H38" s="567" t="s">
        <v>62</v>
      </c>
      <c r="I38" s="525"/>
      <c r="J38" s="525"/>
      <c r="K38" s="525"/>
      <c r="N38" s="1210"/>
    </row>
    <row r="39" spans="1:14" s="542" customFormat="1" ht="13.2">
      <c r="A39" s="543" t="s">
        <v>64</v>
      </c>
      <c r="B39" s="544" t="s">
        <v>65</v>
      </c>
      <c r="C39" s="545">
        <v>12</v>
      </c>
      <c r="D39" s="545"/>
      <c r="E39" s="545"/>
      <c r="F39" s="912">
        <f t="shared" si="0"/>
        <v>0</v>
      </c>
      <c r="G39" s="525"/>
      <c r="H39" s="567" t="s">
        <v>64</v>
      </c>
      <c r="I39" s="525"/>
      <c r="J39" s="525"/>
      <c r="K39" s="525"/>
      <c r="N39" s="1210"/>
    </row>
    <row r="40" spans="1:14" s="542" customFormat="1" ht="13.2">
      <c r="A40" s="543" t="s">
        <v>66</v>
      </c>
      <c r="B40" s="544" t="s">
        <v>67</v>
      </c>
      <c r="C40" s="545">
        <v>11</v>
      </c>
      <c r="D40" s="545"/>
      <c r="E40" s="545"/>
      <c r="F40" s="912">
        <f t="shared" si="0"/>
        <v>0</v>
      </c>
      <c r="G40" s="525"/>
      <c r="H40" s="567" t="s">
        <v>66</v>
      </c>
      <c r="I40" s="525"/>
      <c r="J40" s="525"/>
      <c r="K40" s="525"/>
      <c r="N40" s="1210"/>
    </row>
    <row r="41" spans="1:14" s="542" customFormat="1" ht="13.2">
      <c r="A41" s="543" t="s">
        <v>68</v>
      </c>
      <c r="B41" s="544" t="s">
        <v>69</v>
      </c>
      <c r="C41" s="545">
        <v>9</v>
      </c>
      <c r="D41" s="545"/>
      <c r="E41" s="545"/>
      <c r="F41" s="912">
        <f t="shared" si="0"/>
        <v>0</v>
      </c>
      <c r="G41" s="525"/>
      <c r="H41" s="567" t="s">
        <v>68</v>
      </c>
      <c r="I41" s="525"/>
      <c r="J41" s="525"/>
      <c r="K41" s="525"/>
      <c r="N41" s="1210"/>
    </row>
    <row r="42" spans="1:14" s="542" customFormat="1" ht="13.2">
      <c r="A42" s="543" t="s">
        <v>70</v>
      </c>
      <c r="B42" s="544" t="s">
        <v>71</v>
      </c>
      <c r="C42" s="545">
        <v>5</v>
      </c>
      <c r="D42" s="545"/>
      <c r="E42" s="545"/>
      <c r="F42" s="912">
        <f t="shared" si="0"/>
        <v>0</v>
      </c>
      <c r="G42" s="525"/>
      <c r="H42" s="567" t="s">
        <v>70</v>
      </c>
      <c r="I42" s="525"/>
      <c r="J42" s="525"/>
      <c r="K42" s="525"/>
      <c r="N42" s="1210"/>
    </row>
    <row r="43" spans="1:14" s="542" customFormat="1" ht="13.2">
      <c r="A43" s="543" t="s">
        <v>72</v>
      </c>
      <c r="B43" s="544" t="s">
        <v>73</v>
      </c>
      <c r="C43" s="545">
        <v>7</v>
      </c>
      <c r="D43" s="545">
        <v>2</v>
      </c>
      <c r="E43" s="545"/>
      <c r="F43" s="912">
        <f t="shared" si="0"/>
        <v>2</v>
      </c>
      <c r="G43" s="525"/>
      <c r="H43" s="567" t="s">
        <v>72</v>
      </c>
      <c r="I43" s="525"/>
      <c r="J43" s="525"/>
      <c r="K43" s="525"/>
      <c r="N43" s="1210"/>
    </row>
    <row r="44" spans="1:14" s="542" customFormat="1" ht="21.75" customHeight="1">
      <c r="A44" s="543" t="s">
        <v>74</v>
      </c>
      <c r="B44" s="546" t="s">
        <v>75</v>
      </c>
      <c r="C44" s="545">
        <v>5</v>
      </c>
      <c r="D44" s="545"/>
      <c r="E44" s="545"/>
      <c r="F44" s="912">
        <f t="shared" si="0"/>
        <v>0</v>
      </c>
      <c r="G44" s="525"/>
      <c r="H44" s="567" t="s">
        <v>74</v>
      </c>
      <c r="I44" s="525"/>
      <c r="J44" s="525"/>
      <c r="K44" s="525"/>
      <c r="N44" s="1210"/>
    </row>
    <row r="45" spans="1:14" s="542" customFormat="1" ht="24" customHeight="1">
      <c r="A45" s="543" t="s">
        <v>76</v>
      </c>
      <c r="B45" s="547" t="s">
        <v>77</v>
      </c>
      <c r="C45" s="545">
        <v>2</v>
      </c>
      <c r="D45" s="545"/>
      <c r="E45" s="545"/>
      <c r="F45" s="912">
        <f t="shared" si="0"/>
        <v>0</v>
      </c>
      <c r="G45" s="525"/>
      <c r="H45" s="567" t="s">
        <v>76</v>
      </c>
      <c r="I45" s="525"/>
      <c r="J45" s="525"/>
      <c r="K45" s="525"/>
      <c r="N45" s="1210"/>
    </row>
    <row r="46" spans="1:14" s="542" customFormat="1" ht="13.2">
      <c r="A46" s="543" t="s">
        <v>78</v>
      </c>
      <c r="B46" s="544" t="s">
        <v>79</v>
      </c>
      <c r="C46" s="545">
        <v>38</v>
      </c>
      <c r="D46" s="545">
        <v>4</v>
      </c>
      <c r="E46" s="545"/>
      <c r="F46" s="912">
        <f t="shared" si="0"/>
        <v>4</v>
      </c>
      <c r="G46" s="525"/>
      <c r="H46" s="567" t="s">
        <v>78</v>
      </c>
      <c r="I46" s="525"/>
      <c r="J46" s="525"/>
      <c r="K46" s="525"/>
      <c r="N46" s="1210"/>
    </row>
    <row r="47" spans="1:14" s="542" customFormat="1" ht="13.2">
      <c r="A47" s="543" t="s">
        <v>80</v>
      </c>
      <c r="B47" s="544" t="s">
        <v>81</v>
      </c>
      <c r="C47" s="545">
        <v>17</v>
      </c>
      <c r="D47" s="545">
        <v>1</v>
      </c>
      <c r="E47" s="545"/>
      <c r="F47" s="912">
        <f t="shared" si="0"/>
        <v>1</v>
      </c>
      <c r="G47" s="525"/>
      <c r="H47" s="567" t="s">
        <v>80</v>
      </c>
      <c r="I47" s="525"/>
      <c r="J47" s="525"/>
      <c r="K47" s="525"/>
      <c r="N47" s="1210"/>
    </row>
    <row r="48" spans="1:14" s="542" customFormat="1" ht="13.2">
      <c r="A48" s="543" t="s">
        <v>82</v>
      </c>
      <c r="B48" s="544" t="s">
        <v>83</v>
      </c>
      <c r="C48" s="545">
        <v>15</v>
      </c>
      <c r="D48" s="545"/>
      <c r="E48" s="545"/>
      <c r="F48" s="912">
        <f t="shared" si="0"/>
        <v>0</v>
      </c>
      <c r="G48" s="525"/>
      <c r="H48" s="567" t="s">
        <v>82</v>
      </c>
      <c r="I48" s="525"/>
      <c r="J48" s="525"/>
      <c r="K48" s="525"/>
      <c r="N48" s="1210"/>
    </row>
    <row r="49" spans="1:14" s="542" customFormat="1" ht="13.2">
      <c r="A49" s="543" t="s">
        <v>84</v>
      </c>
      <c r="B49" s="544" t="s">
        <v>355</v>
      </c>
      <c r="C49" s="545">
        <v>14</v>
      </c>
      <c r="D49" s="545"/>
      <c r="E49" s="545"/>
      <c r="F49" s="912">
        <f t="shared" si="0"/>
        <v>0</v>
      </c>
      <c r="G49" s="525"/>
      <c r="H49" s="567" t="s">
        <v>84</v>
      </c>
      <c r="I49" s="525"/>
      <c r="J49" s="525"/>
      <c r="K49" s="525"/>
      <c r="N49" s="1210"/>
    </row>
    <row r="50" spans="1:14" s="542" customFormat="1" ht="13.2">
      <c r="A50" s="543" t="s">
        <v>85</v>
      </c>
      <c r="B50" s="544" t="s">
        <v>86</v>
      </c>
      <c r="C50" s="545">
        <v>18</v>
      </c>
      <c r="D50" s="545"/>
      <c r="E50" s="545"/>
      <c r="F50" s="912">
        <f t="shared" si="0"/>
        <v>0</v>
      </c>
      <c r="G50" s="525"/>
      <c r="H50" s="567" t="s">
        <v>85</v>
      </c>
      <c r="I50" s="525"/>
      <c r="J50" s="525"/>
      <c r="K50" s="525"/>
      <c r="N50" s="1210"/>
    </row>
    <row r="51" spans="1:14" s="542" customFormat="1" ht="13.2">
      <c r="A51" s="543" t="s">
        <v>87</v>
      </c>
      <c r="B51" s="544" t="s">
        <v>88</v>
      </c>
      <c r="C51" s="545">
        <v>8</v>
      </c>
      <c r="D51" s="545"/>
      <c r="E51" s="545"/>
      <c r="F51" s="912">
        <f t="shared" si="0"/>
        <v>0</v>
      </c>
      <c r="G51" s="525"/>
      <c r="H51" s="567" t="s">
        <v>87</v>
      </c>
      <c r="I51" s="525"/>
      <c r="J51" s="525"/>
      <c r="K51" s="525"/>
      <c r="N51" s="1210"/>
    </row>
    <row r="52" spans="1:14" s="542" customFormat="1" ht="13.2">
      <c r="A52" s="543" t="s">
        <v>89</v>
      </c>
      <c r="B52" s="544" t="s">
        <v>90</v>
      </c>
      <c r="C52" s="545">
        <v>5</v>
      </c>
      <c r="D52" s="545"/>
      <c r="E52" s="545"/>
      <c r="F52" s="912">
        <f t="shared" si="0"/>
        <v>0</v>
      </c>
      <c r="G52" s="525"/>
      <c r="H52" s="567" t="s">
        <v>89</v>
      </c>
      <c r="I52" s="525"/>
      <c r="J52" s="525"/>
      <c r="K52" s="525"/>
      <c r="N52" s="1210"/>
    </row>
    <row r="53" spans="1:14" s="542" customFormat="1" ht="13.2">
      <c r="A53" s="543" t="s">
        <v>91</v>
      </c>
      <c r="B53" s="544" t="s">
        <v>92</v>
      </c>
      <c r="C53" s="545">
        <v>8</v>
      </c>
      <c r="D53" s="545">
        <v>1</v>
      </c>
      <c r="E53" s="545"/>
      <c r="F53" s="912">
        <f t="shared" si="0"/>
        <v>1</v>
      </c>
      <c r="G53" s="525"/>
      <c r="H53" s="567" t="s">
        <v>91</v>
      </c>
      <c r="I53" s="525"/>
      <c r="J53" s="525"/>
      <c r="K53" s="525"/>
      <c r="N53" s="1210"/>
    </row>
    <row r="54" spans="1:14" s="542" customFormat="1" ht="13.2">
      <c r="A54" s="543" t="s">
        <v>93</v>
      </c>
      <c r="B54" s="544" t="s">
        <v>94</v>
      </c>
      <c r="C54" s="545">
        <v>2</v>
      </c>
      <c r="D54" s="545"/>
      <c r="E54" s="545"/>
      <c r="F54" s="912">
        <f t="shared" si="0"/>
        <v>0</v>
      </c>
      <c r="G54" s="525"/>
      <c r="H54" s="567" t="s">
        <v>93</v>
      </c>
      <c r="I54" s="525"/>
      <c r="J54" s="525"/>
      <c r="K54" s="525"/>
      <c r="N54" s="1210"/>
    </row>
    <row r="55" spans="1:14" s="542" customFormat="1" ht="13.2">
      <c r="A55" s="543" t="s">
        <v>95</v>
      </c>
      <c r="B55" s="544" t="s">
        <v>96</v>
      </c>
      <c r="C55" s="545">
        <v>4</v>
      </c>
      <c r="D55" s="545"/>
      <c r="E55" s="545"/>
      <c r="F55" s="912">
        <f t="shared" si="0"/>
        <v>0</v>
      </c>
      <c r="G55" s="525"/>
      <c r="H55" s="567" t="s">
        <v>95</v>
      </c>
      <c r="I55" s="525"/>
      <c r="J55" s="525"/>
      <c r="K55" s="525"/>
      <c r="N55" s="1210"/>
    </row>
    <row r="56" spans="1:14" s="542" customFormat="1" ht="13.2">
      <c r="A56" s="543" t="s">
        <v>97</v>
      </c>
      <c r="B56" s="544" t="s">
        <v>98</v>
      </c>
      <c r="C56" s="545">
        <v>22</v>
      </c>
      <c r="D56" s="545">
        <v>2</v>
      </c>
      <c r="E56" s="545">
        <v>1</v>
      </c>
      <c r="F56" s="912">
        <f t="shared" si="0"/>
        <v>3</v>
      </c>
      <c r="G56" s="525"/>
      <c r="H56" s="567" t="s">
        <v>97</v>
      </c>
      <c r="I56" s="525"/>
      <c r="J56" s="525"/>
      <c r="K56" s="525"/>
      <c r="N56" s="1210"/>
    </row>
    <row r="57" spans="1:14" s="542" customFormat="1" ht="13.2">
      <c r="A57" s="543" t="s">
        <v>99</v>
      </c>
      <c r="B57" s="544" t="s">
        <v>100</v>
      </c>
      <c r="C57" s="545">
        <v>19</v>
      </c>
      <c r="D57" s="545">
        <v>1</v>
      </c>
      <c r="E57" s="545"/>
      <c r="F57" s="912">
        <f t="shared" si="0"/>
        <v>1</v>
      </c>
      <c r="G57" s="525"/>
      <c r="H57" s="567" t="s">
        <v>99</v>
      </c>
      <c r="I57" s="525"/>
      <c r="J57" s="525"/>
      <c r="K57" s="525"/>
      <c r="N57" s="1210"/>
    </row>
    <row r="58" spans="1:14" s="542" customFormat="1" ht="13.2">
      <c r="A58" s="543">
        <v>72</v>
      </c>
      <c r="B58" s="544" t="s">
        <v>117</v>
      </c>
      <c r="C58" s="545"/>
      <c r="D58" s="545"/>
      <c r="E58" s="545"/>
      <c r="F58" s="912">
        <f t="shared" si="0"/>
        <v>0</v>
      </c>
      <c r="G58" s="525"/>
      <c r="H58" s="567"/>
      <c r="I58" s="525"/>
      <c r="J58" s="525"/>
      <c r="K58" s="525"/>
      <c r="N58" s="1210"/>
    </row>
    <row r="59" spans="1:14" s="542" customFormat="1" ht="13.2">
      <c r="A59" s="543" t="s">
        <v>101</v>
      </c>
      <c r="B59" s="544" t="s">
        <v>102</v>
      </c>
      <c r="C59" s="545"/>
      <c r="D59" s="545"/>
      <c r="E59" s="545"/>
      <c r="F59" s="912">
        <f t="shared" si="0"/>
        <v>0</v>
      </c>
      <c r="G59" s="525"/>
      <c r="H59" s="567"/>
      <c r="I59" s="525"/>
      <c r="J59" s="525"/>
      <c r="K59" s="525"/>
      <c r="N59" s="1210"/>
    </row>
    <row r="60" spans="1:14" s="542" customFormat="1" ht="13.2">
      <c r="A60" s="543" t="s">
        <v>103</v>
      </c>
      <c r="B60" s="544" t="s">
        <v>104</v>
      </c>
      <c r="C60" s="545">
        <v>11</v>
      </c>
      <c r="D60" s="545">
        <v>1</v>
      </c>
      <c r="E60" s="545"/>
      <c r="F60" s="912">
        <f t="shared" si="0"/>
        <v>1</v>
      </c>
      <c r="G60" s="525"/>
      <c r="H60" s="567" t="s">
        <v>103</v>
      </c>
      <c r="I60" s="525"/>
      <c r="J60" s="525"/>
      <c r="K60" s="525"/>
      <c r="N60" s="1210"/>
    </row>
    <row r="61" spans="1:14" s="542" customFormat="1" ht="13.2">
      <c r="A61" s="543">
        <v>76</v>
      </c>
      <c r="B61" s="544" t="s">
        <v>200</v>
      </c>
      <c r="C61" s="545"/>
      <c r="D61" s="545"/>
      <c r="E61" s="545"/>
      <c r="F61" s="912">
        <f t="shared" si="0"/>
        <v>0</v>
      </c>
      <c r="G61" s="525"/>
      <c r="H61" s="567"/>
      <c r="I61" s="525"/>
      <c r="J61" s="525"/>
      <c r="K61" s="525"/>
      <c r="N61" s="1210"/>
    </row>
    <row r="62" spans="1:14" s="542" customFormat="1" ht="13.2">
      <c r="A62" s="543" t="s">
        <v>517</v>
      </c>
      <c r="B62" s="544" t="s">
        <v>518</v>
      </c>
      <c r="C62" s="545">
        <v>2</v>
      </c>
      <c r="D62" s="545">
        <v>1</v>
      </c>
      <c r="E62" s="545"/>
      <c r="F62" s="912">
        <f t="shared" si="0"/>
        <v>1</v>
      </c>
      <c r="G62" s="525"/>
      <c r="H62" s="567" t="s">
        <v>517</v>
      </c>
      <c r="I62" s="525"/>
      <c r="J62" s="525"/>
      <c r="K62" s="525"/>
      <c r="N62" s="1210"/>
    </row>
    <row r="63" spans="1:14" s="542" customFormat="1" ht="13.2">
      <c r="A63" s="543" t="s">
        <v>519</v>
      </c>
      <c r="B63" s="544" t="s">
        <v>520</v>
      </c>
      <c r="C63" s="545">
        <v>9</v>
      </c>
      <c r="D63" s="545"/>
      <c r="E63" s="545"/>
      <c r="F63" s="912">
        <f t="shared" si="0"/>
        <v>0</v>
      </c>
      <c r="G63" s="525"/>
      <c r="H63" s="567" t="s">
        <v>519</v>
      </c>
      <c r="I63" s="525"/>
      <c r="J63" s="525"/>
      <c r="K63" s="525"/>
      <c r="N63" s="1210"/>
    </row>
    <row r="64" spans="1:14" s="542" customFormat="1" ht="13.2">
      <c r="A64" s="543" t="s">
        <v>521</v>
      </c>
      <c r="B64" s="544" t="s">
        <v>522</v>
      </c>
      <c r="C64" s="545">
        <v>8</v>
      </c>
      <c r="D64" s="545"/>
      <c r="E64" s="545"/>
      <c r="F64" s="912">
        <f t="shared" si="0"/>
        <v>0</v>
      </c>
      <c r="G64" s="525"/>
      <c r="H64" s="567" t="s">
        <v>521</v>
      </c>
      <c r="I64" s="525"/>
      <c r="J64" s="525"/>
      <c r="K64" s="525"/>
      <c r="N64" s="1210"/>
    </row>
    <row r="65" spans="1:177" ht="13.8" thickBot="1">
      <c r="A65" s="562"/>
      <c r="B65" s="563" t="s">
        <v>105</v>
      </c>
      <c r="C65" s="913">
        <f>SUM(C10:C64)</f>
        <v>600</v>
      </c>
      <c r="D65" s="913">
        <f>SUM(D10:D64)</f>
        <v>49</v>
      </c>
      <c r="E65" s="913">
        <f>SUM(E10:E64)</f>
        <v>2</v>
      </c>
      <c r="F65" s="914">
        <f>SUM(F15:F64)</f>
        <v>51</v>
      </c>
      <c r="G65" s="525"/>
      <c r="H65" s="567"/>
      <c r="I65" s="525"/>
      <c r="J65" s="525"/>
      <c r="K65" s="525"/>
      <c r="L65" s="542"/>
      <c r="M65" s="542"/>
      <c r="N65" s="542"/>
      <c r="O65" s="542"/>
      <c r="P65" s="542"/>
      <c r="Q65" s="542"/>
      <c r="R65" s="542"/>
      <c r="S65" s="542"/>
      <c r="T65" s="542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V65" s="542"/>
      <c r="CW65" s="542"/>
      <c r="CX65" s="542"/>
      <c r="CY65" s="542"/>
      <c r="CZ65" s="542"/>
      <c r="DA65" s="542"/>
      <c r="DB65" s="542"/>
      <c r="DC65" s="542"/>
      <c r="DD65" s="542"/>
      <c r="DE65" s="542"/>
      <c r="DF65" s="542"/>
      <c r="DG65" s="542"/>
      <c r="DH65" s="542"/>
      <c r="DI65" s="542"/>
      <c r="DJ65" s="542"/>
      <c r="DK65" s="542"/>
      <c r="DL65" s="542"/>
      <c r="DM65" s="542"/>
      <c r="DN65" s="542"/>
      <c r="DO65" s="542"/>
      <c r="DP65" s="542"/>
      <c r="DQ65" s="542"/>
      <c r="DR65" s="542"/>
      <c r="DS65" s="542"/>
      <c r="DT65" s="542"/>
      <c r="DU65" s="542"/>
      <c r="DV65" s="542"/>
      <c r="DW65" s="542"/>
      <c r="DX65" s="542"/>
      <c r="DY65" s="542"/>
      <c r="DZ65" s="542"/>
      <c r="EA65" s="542"/>
      <c r="EB65" s="542"/>
      <c r="EC65" s="542"/>
      <c r="ED65" s="542"/>
      <c r="EE65" s="542"/>
      <c r="EF65" s="542"/>
      <c r="EG65" s="542"/>
      <c r="EH65" s="542"/>
      <c r="EI65" s="542"/>
      <c r="EJ65" s="542"/>
      <c r="EK65" s="542"/>
      <c r="EL65" s="542"/>
      <c r="EM65" s="542"/>
      <c r="EN65" s="542"/>
      <c r="EO65" s="542"/>
      <c r="EP65" s="542"/>
      <c r="EQ65" s="542"/>
      <c r="ER65" s="542"/>
      <c r="ES65" s="542"/>
      <c r="ET65" s="542"/>
      <c r="EU65" s="542"/>
      <c r="EV65" s="542"/>
      <c r="EW65" s="542"/>
      <c r="EX65" s="542"/>
      <c r="EY65" s="542"/>
      <c r="EZ65" s="542"/>
      <c r="FA65" s="542"/>
      <c r="FB65" s="542"/>
      <c r="FC65" s="542"/>
      <c r="FD65" s="542"/>
      <c r="FE65" s="542"/>
      <c r="FF65" s="542"/>
      <c r="FG65" s="542"/>
      <c r="FH65" s="542"/>
      <c r="FI65" s="542"/>
      <c r="FJ65" s="542"/>
      <c r="FK65" s="542"/>
      <c r="FL65" s="542"/>
      <c r="FM65" s="542"/>
      <c r="FN65" s="542"/>
      <c r="FO65" s="542"/>
      <c r="FP65" s="542"/>
      <c r="FQ65" s="542"/>
      <c r="FR65" s="542"/>
      <c r="FS65" s="542"/>
      <c r="FT65" s="542"/>
      <c r="FU65" s="542"/>
    </row>
    <row r="66" spans="1:177" ht="13.8" thickBot="1">
      <c r="A66" s="552" t="str">
        <f>'fiche technique'!A14</f>
        <v>Source: GALAXIE (ANTEE), DGRH A1-1 &amp; DGRH A2, juin 2014</v>
      </c>
      <c r="B66" s="564"/>
      <c r="C66" s="565"/>
      <c r="D66" s="915">
        <f>D65/$C$65</f>
        <v>8.1666666666666665E-2</v>
      </c>
      <c r="E66" s="916">
        <f>E65/$C$65</f>
        <v>3.3333333333333335E-3</v>
      </c>
      <c r="F66" s="917">
        <f>F65/$C$65</f>
        <v>8.5000000000000006E-2</v>
      </c>
      <c r="G66" s="566"/>
      <c r="H66" s="567"/>
      <c r="I66" s="525"/>
      <c r="J66" s="525"/>
      <c r="K66" s="525"/>
      <c r="L66" s="542"/>
      <c r="M66" s="542"/>
      <c r="N66" s="542"/>
      <c r="O66" s="542"/>
      <c r="P66" s="542"/>
      <c r="Q66" s="542"/>
      <c r="R66" s="542"/>
      <c r="S66" s="542"/>
      <c r="T66" s="542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2"/>
      <c r="AZ66" s="542"/>
      <c r="BA66" s="542"/>
      <c r="BB66" s="542"/>
      <c r="BC66" s="542"/>
      <c r="BD66" s="542"/>
      <c r="BE66" s="542"/>
      <c r="BF66" s="542"/>
      <c r="BG66" s="542"/>
      <c r="BH66" s="542"/>
      <c r="BI66" s="542"/>
      <c r="BJ66" s="542"/>
      <c r="BK66" s="542"/>
      <c r="BL66" s="542"/>
      <c r="BM66" s="542"/>
      <c r="BN66" s="542"/>
      <c r="BO66" s="542"/>
      <c r="BP66" s="542"/>
      <c r="BQ66" s="542"/>
      <c r="BR66" s="542"/>
      <c r="BS66" s="542"/>
      <c r="BT66" s="542"/>
      <c r="BU66" s="542"/>
      <c r="BV66" s="542"/>
      <c r="BW66" s="542"/>
      <c r="BX66" s="542"/>
      <c r="BY66" s="542"/>
      <c r="BZ66" s="542"/>
      <c r="CA66" s="542"/>
      <c r="CB66" s="542"/>
      <c r="CC66" s="542"/>
      <c r="CD66" s="542"/>
      <c r="CE66" s="542"/>
      <c r="CF66" s="542"/>
      <c r="CG66" s="542"/>
      <c r="CH66" s="542"/>
      <c r="CI66" s="542"/>
      <c r="CJ66" s="542"/>
      <c r="CK66" s="542"/>
      <c r="CL66" s="542"/>
      <c r="CM66" s="542"/>
      <c r="CN66" s="542"/>
      <c r="CO66" s="542"/>
      <c r="CP66" s="542"/>
      <c r="CQ66" s="542"/>
      <c r="CR66" s="542"/>
      <c r="CS66" s="542"/>
      <c r="CT66" s="542"/>
      <c r="CU66" s="542"/>
      <c r="CV66" s="542"/>
      <c r="CW66" s="542"/>
      <c r="CX66" s="542"/>
      <c r="CY66" s="542"/>
      <c r="CZ66" s="542"/>
      <c r="DA66" s="542"/>
      <c r="DB66" s="542"/>
      <c r="DC66" s="542"/>
      <c r="DD66" s="542"/>
      <c r="DE66" s="542"/>
      <c r="DF66" s="542"/>
      <c r="DG66" s="542"/>
      <c r="DH66" s="542"/>
      <c r="DI66" s="542"/>
      <c r="DJ66" s="542"/>
      <c r="DK66" s="542"/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542"/>
      <c r="DY66" s="542"/>
      <c r="DZ66" s="542"/>
      <c r="EA66" s="542"/>
      <c r="EB66" s="542"/>
      <c r="EC66" s="542"/>
      <c r="ED66" s="542"/>
      <c r="EE66" s="542"/>
      <c r="EF66" s="542"/>
      <c r="EG66" s="542"/>
      <c r="EH66" s="542"/>
      <c r="EI66" s="542"/>
      <c r="EJ66" s="542"/>
      <c r="EK66" s="542"/>
      <c r="EL66" s="542"/>
      <c r="EM66" s="542"/>
      <c r="EN66" s="542"/>
      <c r="EO66" s="542"/>
      <c r="EP66" s="542"/>
      <c r="EQ66" s="542"/>
      <c r="ER66" s="542"/>
      <c r="ES66" s="542"/>
      <c r="ET66" s="542"/>
      <c r="EU66" s="542"/>
      <c r="EV66" s="542"/>
      <c r="EW66" s="542"/>
      <c r="EX66" s="542"/>
      <c r="EY66" s="542"/>
      <c r="EZ66" s="542"/>
      <c r="FA66" s="542"/>
      <c r="FB66" s="542"/>
      <c r="FC66" s="542"/>
      <c r="FD66" s="542"/>
      <c r="FE66" s="542"/>
      <c r="FF66" s="542"/>
      <c r="FG66" s="542"/>
      <c r="FH66" s="542"/>
      <c r="FI66" s="542"/>
      <c r="FJ66" s="542"/>
      <c r="FK66" s="542"/>
      <c r="FL66" s="542"/>
      <c r="FM66" s="542"/>
      <c r="FN66" s="542"/>
      <c r="FO66" s="542"/>
      <c r="FP66" s="542"/>
      <c r="FQ66" s="542"/>
      <c r="FR66" s="542"/>
      <c r="FS66" s="542"/>
      <c r="FT66" s="542"/>
      <c r="FU66" s="542"/>
    </row>
    <row r="67" spans="1:177" ht="13.2">
      <c r="G67" s="566"/>
      <c r="H67" s="567"/>
      <c r="I67" s="525"/>
      <c r="J67" s="525"/>
      <c r="K67" s="525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2"/>
      <c r="AZ67" s="542"/>
      <c r="BA67" s="542"/>
      <c r="BB67" s="542"/>
      <c r="BC67" s="542"/>
      <c r="BD67" s="542"/>
      <c r="BE67" s="542"/>
      <c r="BF67" s="542"/>
      <c r="BG67" s="542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V67" s="542"/>
      <c r="CW67" s="542"/>
      <c r="CX67" s="542"/>
      <c r="CY67" s="542"/>
      <c r="CZ67" s="542"/>
      <c r="DA67" s="542"/>
      <c r="DB67" s="542"/>
      <c r="DC67" s="542"/>
      <c r="DD67" s="542"/>
      <c r="DE67" s="542"/>
      <c r="DF67" s="542"/>
      <c r="DG67" s="542"/>
      <c r="DH67" s="542"/>
      <c r="DI67" s="542"/>
      <c r="DJ67" s="54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542"/>
      <c r="DY67" s="542"/>
      <c r="DZ67" s="542"/>
      <c r="EA67" s="542"/>
      <c r="EB67" s="542"/>
      <c r="EC67" s="542"/>
      <c r="ED67" s="542"/>
      <c r="EE67" s="542"/>
      <c r="EF67" s="542"/>
      <c r="EG67" s="542"/>
      <c r="EH67" s="542"/>
      <c r="EI67" s="542"/>
      <c r="EJ67" s="542"/>
      <c r="EK67" s="542"/>
      <c r="EL67" s="542"/>
      <c r="EM67" s="542"/>
      <c r="EN67" s="542"/>
      <c r="EO67" s="542"/>
      <c r="EP67" s="542"/>
      <c r="EQ67" s="542"/>
      <c r="ER67" s="542"/>
      <c r="ES67" s="542"/>
      <c r="ET67" s="542"/>
      <c r="EU67" s="542"/>
      <c r="EV67" s="542"/>
      <c r="EW67" s="542"/>
      <c r="EX67" s="542"/>
      <c r="EY67" s="542"/>
      <c r="EZ67" s="542"/>
      <c r="FA67" s="542"/>
      <c r="FB67" s="542"/>
      <c r="FC67" s="542"/>
      <c r="FD67" s="542"/>
      <c r="FE67" s="542"/>
      <c r="FF67" s="542"/>
      <c r="FG67" s="542"/>
      <c r="FH67" s="542"/>
      <c r="FI67" s="542"/>
      <c r="FJ67" s="542"/>
      <c r="FK67" s="542"/>
      <c r="FL67" s="542"/>
      <c r="FM67" s="542"/>
      <c r="FN67" s="542"/>
      <c r="FO67" s="542"/>
      <c r="FP67" s="542"/>
      <c r="FQ67" s="542"/>
      <c r="FR67" s="542"/>
      <c r="FS67" s="542"/>
      <c r="FT67" s="542"/>
      <c r="FU67" s="542"/>
    </row>
    <row r="68" spans="1:177" ht="13.2">
      <c r="G68" s="566"/>
      <c r="H68" s="567"/>
      <c r="I68" s="525"/>
      <c r="J68" s="525"/>
      <c r="K68" s="525"/>
      <c r="L68" s="542"/>
      <c r="M68" s="542"/>
      <c r="N68" s="542"/>
      <c r="O68" s="542"/>
      <c r="P68" s="542"/>
      <c r="Q68" s="542"/>
      <c r="R68" s="542"/>
      <c r="S68" s="542"/>
      <c r="T68" s="542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2"/>
      <c r="AZ68" s="542"/>
      <c r="BA68" s="542"/>
      <c r="BB68" s="542"/>
      <c r="BC68" s="542"/>
      <c r="BD68" s="542"/>
      <c r="BE68" s="542"/>
      <c r="BF68" s="542"/>
      <c r="BG68" s="542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V68" s="542"/>
      <c r="CW68" s="542"/>
      <c r="CX68" s="542"/>
      <c r="CY68" s="542"/>
      <c r="CZ68" s="542"/>
      <c r="DA68" s="542"/>
      <c r="DB68" s="542"/>
      <c r="DC68" s="542"/>
      <c r="DD68" s="542"/>
      <c r="DE68" s="542"/>
      <c r="DF68" s="542"/>
      <c r="DG68" s="542"/>
      <c r="DH68" s="542"/>
      <c r="DI68" s="542"/>
      <c r="DJ68" s="542"/>
      <c r="DK68" s="542"/>
      <c r="DL68" s="542"/>
      <c r="DM68" s="542"/>
      <c r="DN68" s="542"/>
      <c r="DO68" s="542"/>
      <c r="DP68" s="542"/>
      <c r="DQ68" s="542"/>
      <c r="DR68" s="542"/>
      <c r="DS68" s="542"/>
      <c r="DT68" s="542"/>
      <c r="DU68" s="542"/>
      <c r="DV68" s="542"/>
      <c r="DW68" s="542"/>
      <c r="DX68" s="542"/>
      <c r="DY68" s="542"/>
      <c r="DZ68" s="542"/>
      <c r="EA68" s="542"/>
      <c r="EB68" s="542"/>
      <c r="EC68" s="542"/>
      <c r="ED68" s="542"/>
      <c r="EE68" s="542"/>
      <c r="EF68" s="542"/>
      <c r="EG68" s="542"/>
    </row>
    <row r="69" spans="1:177" ht="13.2">
      <c r="G69" s="566"/>
      <c r="H69" s="567"/>
      <c r="I69" s="525"/>
      <c r="J69" s="525"/>
      <c r="K69" s="525"/>
      <c r="L69" s="542"/>
      <c r="M69" s="542"/>
      <c r="N69" s="542"/>
      <c r="O69" s="542"/>
      <c r="P69" s="542"/>
      <c r="Q69" s="542"/>
      <c r="R69" s="542"/>
      <c r="S69" s="542"/>
      <c r="T69" s="542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2"/>
      <c r="AZ69" s="542"/>
      <c r="BA69" s="542"/>
      <c r="BB69" s="542"/>
      <c r="BC69" s="542"/>
      <c r="BD69" s="542"/>
      <c r="BE69" s="542"/>
      <c r="BF69" s="542"/>
      <c r="BG69" s="542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V69" s="542"/>
      <c r="CW69" s="542"/>
      <c r="CX69" s="542"/>
      <c r="CY69" s="542"/>
      <c r="CZ69" s="542"/>
      <c r="DA69" s="542"/>
      <c r="DB69" s="542"/>
      <c r="DC69" s="542"/>
      <c r="DD69" s="542"/>
      <c r="DE69" s="542"/>
      <c r="DF69" s="542"/>
      <c r="DG69" s="542"/>
      <c r="DH69" s="542"/>
      <c r="DI69" s="542"/>
      <c r="DJ69" s="542"/>
      <c r="DK69" s="542"/>
      <c r="DL69" s="542"/>
      <c r="DM69" s="542"/>
      <c r="DN69" s="542"/>
      <c r="DO69" s="542"/>
      <c r="DP69" s="542"/>
      <c r="DQ69" s="542"/>
      <c r="DR69" s="542"/>
      <c r="DS69" s="542"/>
      <c r="DT69" s="542"/>
      <c r="DU69" s="542"/>
      <c r="DV69" s="542"/>
      <c r="DW69" s="542"/>
      <c r="DX69" s="542"/>
      <c r="DY69" s="542"/>
      <c r="DZ69" s="542"/>
      <c r="EA69" s="542"/>
      <c r="EB69" s="542"/>
      <c r="EC69" s="542"/>
      <c r="ED69" s="542"/>
      <c r="EE69" s="542"/>
      <c r="EF69" s="542"/>
      <c r="EG69" s="542"/>
    </row>
    <row r="70" spans="1:177" ht="13.2">
      <c r="D70" s="568"/>
      <c r="G70" s="566"/>
      <c r="H70" s="566"/>
      <c r="I70" s="525"/>
      <c r="J70" s="525"/>
      <c r="K70" s="525"/>
      <c r="L70" s="542"/>
      <c r="M70" s="542"/>
      <c r="N70" s="542"/>
      <c r="O70" s="542"/>
      <c r="P70" s="542"/>
      <c r="Q70" s="542"/>
      <c r="R70" s="542"/>
      <c r="S70" s="542"/>
      <c r="T70" s="542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2"/>
      <c r="AZ70" s="542"/>
      <c r="BA70" s="542"/>
      <c r="BB70" s="542"/>
      <c r="BC70" s="542"/>
      <c r="BD70" s="542"/>
      <c r="BE70" s="542"/>
      <c r="BF70" s="542"/>
      <c r="BG70" s="542"/>
      <c r="BH70" s="542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V70" s="542"/>
      <c r="CW70" s="542"/>
      <c r="CX70" s="542"/>
      <c r="CY70" s="542"/>
      <c r="CZ70" s="542"/>
      <c r="DA70" s="542"/>
      <c r="DB70" s="542"/>
      <c r="DC70" s="542"/>
      <c r="DD70" s="542"/>
      <c r="DE70" s="542"/>
      <c r="DF70" s="542"/>
      <c r="DG70" s="542"/>
      <c r="DH70" s="542"/>
      <c r="DI70" s="542"/>
      <c r="DJ70" s="542"/>
      <c r="DK70" s="542"/>
      <c r="DL70" s="542"/>
      <c r="DM70" s="542"/>
      <c r="DN70" s="542"/>
      <c r="DO70" s="542"/>
      <c r="DP70" s="542"/>
      <c r="DQ70" s="542"/>
      <c r="DR70" s="542"/>
      <c r="DS70" s="542"/>
      <c r="DT70" s="542"/>
      <c r="DU70" s="542"/>
      <c r="DV70" s="542"/>
      <c r="DW70" s="542"/>
      <c r="DX70" s="542"/>
      <c r="DY70" s="542"/>
      <c r="DZ70" s="542"/>
      <c r="EA70" s="542"/>
      <c r="EB70" s="542"/>
      <c r="EC70" s="542"/>
      <c r="ED70" s="542"/>
      <c r="EE70" s="542"/>
      <c r="EF70" s="542"/>
      <c r="EG70" s="542"/>
    </row>
    <row r="71" spans="1:177" ht="13.2">
      <c r="G71" s="566"/>
      <c r="H71" s="566"/>
      <c r="I71" s="525"/>
      <c r="J71" s="525"/>
      <c r="K71" s="525"/>
      <c r="L71" s="542"/>
      <c r="M71" s="542"/>
      <c r="N71" s="542"/>
      <c r="O71" s="542"/>
      <c r="P71" s="542"/>
      <c r="Q71" s="542"/>
      <c r="R71" s="542"/>
      <c r="S71" s="542"/>
      <c r="T71" s="542"/>
      <c r="U71" s="542"/>
      <c r="V71" s="542"/>
      <c r="W71" s="542"/>
      <c r="X71" s="542"/>
      <c r="Y71" s="542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  <c r="AK71" s="542"/>
      <c r="AL71" s="542"/>
      <c r="AM71" s="542"/>
      <c r="AN71" s="542"/>
      <c r="AO71" s="542"/>
      <c r="AP71" s="542"/>
      <c r="AQ71" s="542"/>
      <c r="AR71" s="542"/>
      <c r="AS71" s="542"/>
      <c r="AT71" s="542"/>
      <c r="AU71" s="542"/>
      <c r="AV71" s="542"/>
      <c r="AW71" s="542"/>
      <c r="AX71" s="542"/>
      <c r="AY71" s="542"/>
      <c r="AZ71" s="542"/>
      <c r="BA71" s="542"/>
      <c r="BB71" s="542"/>
      <c r="BC71" s="542"/>
      <c r="BD71" s="542"/>
      <c r="BE71" s="542"/>
      <c r="BF71" s="542"/>
      <c r="BG71" s="542"/>
      <c r="BH71" s="542"/>
      <c r="BI71" s="542"/>
      <c r="BJ71" s="542"/>
      <c r="BK71" s="542"/>
      <c r="BL71" s="542"/>
      <c r="BM71" s="542"/>
      <c r="BN71" s="542"/>
      <c r="BO71" s="542"/>
      <c r="BP71" s="542"/>
      <c r="BQ71" s="542"/>
      <c r="BR71" s="542"/>
      <c r="BS71" s="542"/>
      <c r="BT71" s="542"/>
      <c r="BU71" s="542"/>
      <c r="BV71" s="542"/>
      <c r="BW71" s="542"/>
      <c r="BX71" s="542"/>
      <c r="BY71" s="542"/>
      <c r="BZ71" s="542"/>
      <c r="CA71" s="542"/>
      <c r="CB71" s="542"/>
      <c r="CC71" s="542"/>
      <c r="CD71" s="542"/>
      <c r="CE71" s="542"/>
      <c r="CF71" s="542"/>
      <c r="CG71" s="542"/>
      <c r="CH71" s="542"/>
      <c r="CI71" s="542"/>
      <c r="CJ71" s="542"/>
      <c r="CK71" s="542"/>
      <c r="CL71" s="542"/>
      <c r="CM71" s="542"/>
      <c r="CN71" s="542"/>
      <c r="CO71" s="542"/>
      <c r="CP71" s="542"/>
      <c r="CQ71" s="542"/>
      <c r="CR71" s="542"/>
      <c r="CS71" s="542"/>
      <c r="CT71" s="542"/>
      <c r="CU71" s="542"/>
      <c r="CV71" s="542"/>
      <c r="CW71" s="542"/>
      <c r="CX71" s="542"/>
      <c r="CY71" s="542"/>
      <c r="CZ71" s="542"/>
      <c r="DA71" s="542"/>
      <c r="DB71" s="542"/>
      <c r="DC71" s="542"/>
      <c r="DD71" s="542"/>
      <c r="DE71" s="542"/>
      <c r="DF71" s="542"/>
      <c r="DG71" s="542"/>
      <c r="DH71" s="542"/>
      <c r="DI71" s="542"/>
      <c r="DJ71" s="542"/>
      <c r="DK71" s="542"/>
      <c r="DL71" s="542"/>
      <c r="DM71" s="542"/>
      <c r="DN71" s="542"/>
      <c r="DO71" s="542"/>
      <c r="DP71" s="542"/>
      <c r="DQ71" s="542"/>
      <c r="DR71" s="542"/>
      <c r="DS71" s="542"/>
      <c r="DT71" s="542"/>
      <c r="DU71" s="542"/>
      <c r="DV71" s="542"/>
      <c r="DW71" s="542"/>
      <c r="DX71" s="542"/>
      <c r="DY71" s="542"/>
      <c r="DZ71" s="542"/>
      <c r="EA71" s="542"/>
      <c r="EB71" s="542"/>
      <c r="EC71" s="542"/>
      <c r="ED71" s="542"/>
      <c r="EE71" s="542"/>
      <c r="EF71" s="542"/>
      <c r="EG71" s="542"/>
    </row>
    <row r="72" spans="1:177" ht="13.2">
      <c r="G72" s="566"/>
      <c r="H72" s="566"/>
      <c r="I72" s="525"/>
      <c r="J72" s="525"/>
      <c r="K72" s="525"/>
      <c r="L72" s="542"/>
      <c r="M72" s="542"/>
      <c r="N72" s="542"/>
      <c r="O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  <c r="AK72" s="542"/>
      <c r="AL72" s="542"/>
      <c r="AM72" s="542"/>
      <c r="AN72" s="542"/>
      <c r="AO72" s="542"/>
      <c r="AP72" s="542"/>
      <c r="AQ72" s="542"/>
      <c r="AR72" s="542"/>
      <c r="AS72" s="542"/>
      <c r="AT72" s="542"/>
      <c r="AU72" s="542"/>
      <c r="AV72" s="542"/>
      <c r="AW72" s="542"/>
      <c r="AX72" s="542"/>
      <c r="AY72" s="542"/>
      <c r="AZ72" s="542"/>
      <c r="BA72" s="542"/>
      <c r="BB72" s="542"/>
      <c r="BC72" s="542"/>
      <c r="BD72" s="542"/>
      <c r="BE72" s="542"/>
      <c r="BF72" s="542"/>
      <c r="BG72" s="542"/>
      <c r="BH72" s="542"/>
      <c r="BI72" s="542"/>
      <c r="BJ72" s="542"/>
      <c r="BK72" s="542"/>
      <c r="BL72" s="542"/>
      <c r="BM72" s="542"/>
      <c r="BN72" s="542"/>
      <c r="BO72" s="542"/>
      <c r="BP72" s="542"/>
      <c r="BQ72" s="542"/>
      <c r="BR72" s="542"/>
      <c r="BS72" s="542"/>
      <c r="BT72" s="542"/>
      <c r="BU72" s="542"/>
      <c r="BV72" s="542"/>
      <c r="BW72" s="542"/>
      <c r="BX72" s="542"/>
      <c r="BY72" s="542"/>
      <c r="BZ72" s="542"/>
      <c r="CA72" s="542"/>
      <c r="CB72" s="542"/>
      <c r="CC72" s="542"/>
      <c r="CD72" s="542"/>
      <c r="CE72" s="542"/>
      <c r="CF72" s="542"/>
      <c r="CG72" s="542"/>
      <c r="CH72" s="542"/>
      <c r="CI72" s="542"/>
      <c r="CJ72" s="542"/>
      <c r="CK72" s="542"/>
      <c r="CL72" s="542"/>
      <c r="CM72" s="542"/>
      <c r="CN72" s="542"/>
      <c r="CO72" s="542"/>
      <c r="CP72" s="542"/>
      <c r="CQ72" s="542"/>
      <c r="CR72" s="542"/>
      <c r="CS72" s="542"/>
      <c r="CT72" s="542"/>
      <c r="CU72" s="542"/>
      <c r="CV72" s="542"/>
      <c r="CW72" s="542"/>
      <c r="CX72" s="542"/>
      <c r="CY72" s="542"/>
      <c r="CZ72" s="542"/>
      <c r="DA72" s="542"/>
      <c r="DB72" s="542"/>
      <c r="DC72" s="542"/>
      <c r="DD72" s="542"/>
      <c r="DE72" s="542"/>
      <c r="DF72" s="542"/>
      <c r="DG72" s="542"/>
      <c r="DH72" s="542"/>
      <c r="DI72" s="542"/>
      <c r="DJ72" s="542"/>
      <c r="DK72" s="542"/>
      <c r="DL72" s="542"/>
      <c r="DM72" s="542"/>
      <c r="DN72" s="542"/>
      <c r="DO72" s="542"/>
      <c r="DP72" s="542"/>
      <c r="DQ72" s="542"/>
      <c r="DR72" s="542"/>
      <c r="DS72" s="542"/>
      <c r="DT72" s="542"/>
      <c r="DU72" s="542"/>
      <c r="DV72" s="542"/>
      <c r="DW72" s="542"/>
      <c r="DX72" s="542"/>
      <c r="DY72" s="542"/>
      <c r="DZ72" s="542"/>
      <c r="EA72" s="542"/>
      <c r="EB72" s="542"/>
      <c r="EC72" s="542"/>
      <c r="ED72" s="542"/>
      <c r="EE72" s="542"/>
      <c r="EF72" s="542"/>
      <c r="EG72" s="542"/>
    </row>
    <row r="73" spans="1:177" ht="13.2">
      <c r="G73" s="566"/>
      <c r="H73" s="566"/>
      <c r="I73" s="525"/>
      <c r="J73" s="525"/>
      <c r="K73" s="525"/>
      <c r="L73" s="542"/>
      <c r="M73" s="542"/>
      <c r="N73" s="542"/>
      <c r="O73" s="542"/>
      <c r="X73" s="542"/>
      <c r="Y73" s="542"/>
      <c r="Z73" s="542"/>
      <c r="AA73" s="542"/>
      <c r="AB73" s="542"/>
      <c r="AC73" s="542"/>
      <c r="AD73" s="542"/>
      <c r="AE73" s="542"/>
      <c r="AF73" s="542"/>
      <c r="AG73" s="542"/>
      <c r="AH73" s="542"/>
      <c r="AI73" s="542"/>
      <c r="AJ73" s="542"/>
      <c r="AK73" s="542"/>
      <c r="AL73" s="542"/>
      <c r="AM73" s="542"/>
      <c r="AN73" s="542"/>
      <c r="AO73" s="542"/>
      <c r="AP73" s="542"/>
      <c r="AQ73" s="542"/>
      <c r="AR73" s="542"/>
      <c r="AS73" s="542"/>
      <c r="AT73" s="542"/>
      <c r="AU73" s="542"/>
      <c r="AV73" s="542"/>
      <c r="AW73" s="542"/>
      <c r="AX73" s="542"/>
      <c r="AY73" s="542"/>
      <c r="AZ73" s="542"/>
      <c r="BA73" s="542"/>
      <c r="BB73" s="542"/>
      <c r="BC73" s="542"/>
      <c r="BD73" s="542"/>
      <c r="BE73" s="542"/>
      <c r="BF73" s="542"/>
      <c r="BG73" s="542"/>
      <c r="BH73" s="542"/>
      <c r="BI73" s="542"/>
      <c r="BJ73" s="542"/>
      <c r="BK73" s="542"/>
      <c r="BL73" s="542"/>
      <c r="BM73" s="542"/>
      <c r="BN73" s="542"/>
      <c r="BO73" s="542"/>
      <c r="BP73" s="542"/>
      <c r="BQ73" s="542"/>
      <c r="BR73" s="542"/>
      <c r="BS73" s="542"/>
      <c r="BT73" s="542"/>
      <c r="BU73" s="542"/>
      <c r="BV73" s="542"/>
      <c r="BW73" s="542"/>
      <c r="BX73" s="542"/>
      <c r="BY73" s="542"/>
      <c r="BZ73" s="542"/>
      <c r="CA73" s="542"/>
      <c r="CB73" s="542"/>
      <c r="CC73" s="542"/>
      <c r="CD73" s="542"/>
      <c r="CE73" s="542"/>
      <c r="CF73" s="542"/>
      <c r="CG73" s="542"/>
      <c r="CH73" s="542"/>
      <c r="CI73" s="542"/>
      <c r="CJ73" s="542"/>
      <c r="CK73" s="542"/>
      <c r="CL73" s="542"/>
      <c r="CM73" s="542"/>
      <c r="CN73" s="542"/>
      <c r="CO73" s="542"/>
      <c r="CP73" s="542"/>
      <c r="CQ73" s="542"/>
      <c r="CR73" s="542"/>
      <c r="CS73" s="542"/>
      <c r="CT73" s="542"/>
      <c r="CU73" s="542"/>
      <c r="CV73" s="542"/>
      <c r="CW73" s="542"/>
      <c r="CX73" s="542"/>
      <c r="CY73" s="542"/>
      <c r="CZ73" s="542"/>
      <c r="DA73" s="542"/>
      <c r="DB73" s="542"/>
      <c r="DC73" s="542"/>
      <c r="DD73" s="542"/>
      <c r="DE73" s="542"/>
      <c r="DF73" s="542"/>
      <c r="DG73" s="542"/>
      <c r="DH73" s="542"/>
      <c r="DI73" s="542"/>
      <c r="DJ73" s="542"/>
      <c r="DK73" s="542"/>
      <c r="DL73" s="542"/>
      <c r="DM73" s="542"/>
      <c r="DN73" s="542"/>
      <c r="DO73" s="542"/>
      <c r="DP73" s="542"/>
      <c r="DQ73" s="542"/>
      <c r="DR73" s="542"/>
      <c r="DS73" s="542"/>
      <c r="DT73" s="542"/>
      <c r="DU73" s="542"/>
      <c r="DV73" s="542"/>
      <c r="DW73" s="542"/>
      <c r="DX73" s="542"/>
      <c r="DY73" s="542"/>
      <c r="DZ73" s="542"/>
      <c r="EA73" s="542"/>
      <c r="EB73" s="542"/>
      <c r="EC73" s="542"/>
      <c r="ED73" s="542"/>
      <c r="EE73" s="542"/>
      <c r="EF73" s="542"/>
      <c r="EG73" s="542"/>
    </row>
    <row r="74" spans="1:177" ht="13.2">
      <c r="G74" s="566"/>
      <c r="H74" s="566"/>
      <c r="I74" s="525"/>
      <c r="J74" s="525"/>
      <c r="K74" s="525"/>
      <c r="L74" s="542"/>
    </row>
    <row r="75" spans="1:177" ht="13.2">
      <c r="G75" s="566"/>
      <c r="H75" s="566"/>
      <c r="I75" s="525"/>
      <c r="J75" s="525"/>
      <c r="K75" s="525"/>
      <c r="L75" s="542"/>
    </row>
    <row r="76" spans="1:177" ht="13.2">
      <c r="G76" s="566"/>
      <c r="H76" s="566"/>
      <c r="I76" s="525"/>
      <c r="J76" s="525"/>
      <c r="K76" s="525"/>
    </row>
    <row r="77" spans="1:177" ht="13.2">
      <c r="G77" s="566"/>
      <c r="H77" s="566"/>
      <c r="I77" s="525"/>
      <c r="J77" s="525"/>
      <c r="K77" s="525"/>
    </row>
    <row r="78" spans="1:177" ht="13.2">
      <c r="G78" s="566"/>
      <c r="H78" s="566"/>
      <c r="I78" s="525"/>
      <c r="J78" s="525"/>
      <c r="K78" s="525"/>
    </row>
    <row r="79" spans="1:177" ht="13.2">
      <c r="G79" s="566"/>
      <c r="H79" s="566"/>
      <c r="I79" s="525"/>
      <c r="J79" s="525"/>
      <c r="K79" s="525"/>
    </row>
    <row r="80" spans="1:177" ht="13.2">
      <c r="G80" s="566"/>
      <c r="H80" s="566"/>
      <c r="I80" s="525"/>
      <c r="J80" s="525"/>
      <c r="K80" s="542"/>
    </row>
    <row r="81" spans="7:11" ht="13.2">
      <c r="G81" s="566"/>
      <c r="H81" s="566"/>
      <c r="I81" s="525"/>
      <c r="J81" s="525"/>
      <c r="K81" s="542"/>
    </row>
    <row r="82" spans="7:11" ht="13.2">
      <c r="G82" s="566"/>
      <c r="H82" s="566"/>
      <c r="I82" s="525"/>
      <c r="J82" s="525"/>
      <c r="K82" s="542"/>
    </row>
    <row r="83" spans="7:11" ht="13.2">
      <c r="G83" s="569"/>
      <c r="H83" s="566"/>
      <c r="I83" s="566"/>
      <c r="J83" s="566"/>
      <c r="K83" s="542"/>
    </row>
    <row r="84" spans="7:11" ht="13.2">
      <c r="G84" s="569"/>
      <c r="H84" s="566"/>
      <c r="I84" s="566"/>
      <c r="J84" s="566"/>
      <c r="K84" s="542"/>
    </row>
    <row r="85" spans="7:11" ht="13.2">
      <c r="G85" s="569"/>
      <c r="H85" s="566"/>
      <c r="I85" s="566"/>
      <c r="J85" s="566"/>
      <c r="K85" s="542"/>
    </row>
    <row r="86" spans="7:11" ht="13.2">
      <c r="G86" s="569"/>
      <c r="H86" s="566"/>
      <c r="I86" s="566"/>
      <c r="J86" s="566"/>
      <c r="K86" s="542"/>
    </row>
    <row r="87" spans="7:11" ht="13.2">
      <c r="G87" s="569"/>
      <c r="H87" s="566"/>
      <c r="I87" s="566"/>
      <c r="J87" s="566"/>
      <c r="K87" s="542"/>
    </row>
    <row r="88" spans="7:11" ht="13.2">
      <c r="G88" s="569"/>
      <c r="H88" s="566"/>
      <c r="I88" s="566"/>
      <c r="J88" s="566"/>
      <c r="K88" s="542"/>
    </row>
    <row r="89" spans="7:11" ht="13.2">
      <c r="G89" s="569"/>
      <c r="H89" s="566"/>
      <c r="I89" s="566"/>
      <c r="J89" s="566"/>
      <c r="K89" s="542"/>
    </row>
    <row r="90" spans="7:11" ht="13.2">
      <c r="G90" s="569"/>
      <c r="H90" s="566"/>
      <c r="I90" s="566"/>
      <c r="J90" s="566"/>
      <c r="K90" s="542"/>
    </row>
    <row r="91" spans="7:11" ht="13.2">
      <c r="G91" s="569"/>
      <c r="H91" s="566"/>
      <c r="I91" s="566"/>
      <c r="J91" s="566"/>
      <c r="K91" s="542"/>
    </row>
    <row r="92" spans="7:11" ht="13.2">
      <c r="G92" s="569"/>
      <c r="H92" s="566"/>
      <c r="I92" s="566"/>
      <c r="J92" s="566"/>
      <c r="K92" s="542"/>
    </row>
    <row r="93" spans="7:11" ht="13.2">
      <c r="G93" s="569"/>
      <c r="H93" s="566"/>
      <c r="I93" s="566"/>
      <c r="J93" s="566"/>
      <c r="K93" s="542"/>
    </row>
    <row r="94" spans="7:11" ht="13.2">
      <c r="H94" s="566"/>
      <c r="I94" s="566"/>
      <c r="J94" s="566"/>
      <c r="K94" s="542"/>
    </row>
    <row r="95" spans="7:11" ht="13.2">
      <c r="H95" s="566"/>
      <c r="I95" s="566"/>
      <c r="J95" s="566"/>
      <c r="K95" s="542"/>
    </row>
    <row r="96" spans="7:11" ht="13.2">
      <c r="H96" s="566"/>
      <c r="I96" s="566"/>
      <c r="J96" s="566"/>
      <c r="K96" s="542"/>
    </row>
    <row r="97" spans="8:11" ht="13.2">
      <c r="H97" s="566"/>
      <c r="I97" s="566"/>
      <c r="J97" s="566"/>
      <c r="K97" s="542"/>
    </row>
    <row r="98" spans="8:11" ht="13.2">
      <c r="H98" s="566"/>
      <c r="I98" s="566"/>
      <c r="J98" s="566"/>
      <c r="K98" s="542"/>
    </row>
    <row r="99" spans="8:11" ht="13.2">
      <c r="H99" s="566"/>
      <c r="I99" s="566"/>
      <c r="J99" s="566"/>
      <c r="K99" s="542"/>
    </row>
    <row r="100" spans="8:11" ht="13.2">
      <c r="H100" s="566"/>
      <c r="I100" s="566"/>
      <c r="J100" s="566"/>
      <c r="K100" s="542"/>
    </row>
    <row r="101" spans="8:11" ht="13.2">
      <c r="H101" s="566"/>
      <c r="I101" s="566"/>
      <c r="J101" s="566"/>
      <c r="K101" s="542"/>
    </row>
    <row r="102" spans="8:11" ht="13.2">
      <c r="H102" s="566"/>
      <c r="I102" s="566"/>
      <c r="J102" s="566"/>
      <c r="K102" s="542"/>
    </row>
    <row r="103" spans="8:11" ht="13.2">
      <c r="H103" s="566"/>
      <c r="I103" s="566"/>
      <c r="J103" s="566"/>
      <c r="K103" s="542"/>
    </row>
    <row r="104" spans="8:11" ht="13.2">
      <c r="H104" s="566"/>
      <c r="I104" s="566"/>
      <c r="J104" s="566"/>
      <c r="K104" s="542"/>
    </row>
    <row r="105" spans="8:11" ht="13.2">
      <c r="H105" s="569"/>
      <c r="I105" s="566"/>
      <c r="J105" s="566"/>
      <c r="K105" s="542"/>
    </row>
    <row r="106" spans="8:11" ht="13.2">
      <c r="H106" s="569"/>
      <c r="I106" s="566"/>
      <c r="J106" s="566"/>
      <c r="K106" s="542"/>
    </row>
    <row r="107" spans="8:11" ht="13.2">
      <c r="H107" s="569"/>
      <c r="I107" s="566"/>
      <c r="J107" s="566"/>
      <c r="K107" s="542"/>
    </row>
    <row r="108" spans="8:11" ht="13.2">
      <c r="H108" s="569"/>
      <c r="I108" s="566"/>
      <c r="J108" s="566"/>
    </row>
    <row r="109" spans="8:11" ht="13.2">
      <c r="H109" s="569"/>
      <c r="I109" s="566"/>
      <c r="J109" s="566"/>
    </row>
    <row r="110" spans="8:11" ht="13.2">
      <c r="H110" s="569"/>
      <c r="I110" s="566"/>
      <c r="J110" s="566"/>
    </row>
    <row r="111" spans="8:11" ht="13.2">
      <c r="H111" s="569"/>
      <c r="I111" s="566"/>
      <c r="J111" s="566"/>
    </row>
    <row r="112" spans="8:11" ht="13.2">
      <c r="H112" s="569"/>
      <c r="I112" s="566"/>
      <c r="J112" s="566"/>
    </row>
    <row r="113" spans="8:10" ht="13.2">
      <c r="H113" s="569"/>
      <c r="I113" s="566"/>
      <c r="J113" s="566"/>
    </row>
    <row r="114" spans="8:10" ht="13.2">
      <c r="H114" s="569"/>
      <c r="I114" s="566"/>
      <c r="J114" s="566"/>
    </row>
    <row r="115" spans="8:10" ht="13.2">
      <c r="H115" s="569"/>
      <c r="I115" s="566"/>
      <c r="J115" s="566"/>
    </row>
    <row r="116" spans="8:10" ht="13.2">
      <c r="I116" s="566"/>
      <c r="J116" s="566"/>
    </row>
    <row r="117" spans="8:10" ht="13.2">
      <c r="I117" s="566"/>
      <c r="J117" s="566"/>
    </row>
    <row r="118" spans="8:10" ht="13.2">
      <c r="I118" s="566"/>
      <c r="J118" s="566"/>
    </row>
    <row r="119" spans="8:10" ht="13.2">
      <c r="I119" s="569"/>
      <c r="J119" s="542"/>
    </row>
    <row r="120" spans="8:10" ht="13.2">
      <c r="I120" s="569"/>
      <c r="J120" s="542"/>
    </row>
    <row r="121" spans="8:10" ht="13.2">
      <c r="I121" s="569"/>
      <c r="J121" s="542"/>
    </row>
    <row r="122" spans="8:10" ht="13.2">
      <c r="I122" s="569"/>
      <c r="J122" s="542"/>
    </row>
    <row r="123" spans="8:10" ht="13.2">
      <c r="I123" s="569"/>
      <c r="J123" s="542"/>
    </row>
    <row r="124" spans="8:10" ht="13.2">
      <c r="I124" s="569"/>
      <c r="J124" s="542"/>
    </row>
    <row r="125" spans="8:10" ht="13.2">
      <c r="I125" s="569"/>
      <c r="J125" s="542"/>
    </row>
    <row r="126" spans="8:10" ht="13.2">
      <c r="I126" s="569"/>
      <c r="J126" s="542"/>
    </row>
    <row r="127" spans="8:10" ht="13.2">
      <c r="I127" s="569"/>
      <c r="J127" s="542"/>
    </row>
    <row r="128" spans="8:10" ht="13.2">
      <c r="I128" s="569"/>
      <c r="J128" s="542"/>
    </row>
    <row r="129" spans="9:10" ht="13.2">
      <c r="I129" s="569"/>
      <c r="J129" s="542"/>
    </row>
  </sheetData>
  <mergeCells count="1">
    <mergeCell ref="A2:F2"/>
  </mergeCells>
  <printOptions horizontalCentered="1"/>
  <pageMargins left="0.39370078740157483" right="0.39370078740157483" top="0.39370078740157483" bottom="0.19685039370078741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Feuil25">
    <tabColor rgb="FFFFFF66"/>
  </sheetPr>
  <dimension ref="A1:FU64"/>
  <sheetViews>
    <sheetView showZeros="0" workbookViewId="0">
      <selection activeCell="L18" sqref="L18"/>
    </sheetView>
  </sheetViews>
  <sheetFormatPr baseColWidth="10" defaultColWidth="11.44140625" defaultRowHeight="11.4"/>
  <cols>
    <col min="1" max="1" width="12.44140625" style="523" customWidth="1"/>
    <col min="2" max="2" width="53.6640625" style="523" customWidth="1"/>
    <col min="3" max="5" width="14.109375" style="523" customWidth="1"/>
    <col min="6" max="6" width="14.109375" style="524" customWidth="1"/>
    <col min="7" max="7" width="3" style="523" customWidth="1"/>
    <col min="8" max="16384" width="11.44140625" style="523"/>
  </cols>
  <sheetData>
    <row r="1" spans="1:137" ht="15" customHeight="1">
      <c r="A1" s="555"/>
      <c r="F1" s="556"/>
    </row>
    <row r="2" spans="1:137" s="529" customFormat="1" ht="24" customHeight="1">
      <c r="A2" s="2073" t="str">
        <f>'fiche technique'!A5</f>
        <v>Bilan de la campagne 2014 de recrutement et d'affectation des professeurs des universités (session synchronisée - ANTEE)</v>
      </c>
      <c r="B2" s="2073"/>
      <c r="C2" s="2073"/>
      <c r="D2" s="2073"/>
      <c r="E2" s="2073"/>
      <c r="F2" s="2073"/>
    </row>
    <row r="3" spans="1:137" s="529" customFormat="1" ht="15" customHeight="1">
      <c r="A3" s="557"/>
      <c r="B3" s="557"/>
      <c r="C3" s="557"/>
      <c r="D3" s="557"/>
      <c r="E3" s="557"/>
      <c r="F3" s="558"/>
    </row>
    <row r="4" spans="1:137" s="529" customFormat="1" ht="18.75" customHeight="1">
      <c r="A4" s="532" t="s">
        <v>107</v>
      </c>
      <c r="B4" s="532"/>
      <c r="C4" s="532"/>
      <c r="D4" s="532"/>
      <c r="E4" s="532"/>
      <c r="F4" s="533"/>
    </row>
    <row r="5" spans="1:137" s="529" customFormat="1" ht="18.75" customHeight="1">
      <c r="A5" s="532" t="s">
        <v>330</v>
      </c>
      <c r="B5" s="532"/>
      <c r="C5" s="532"/>
      <c r="D5" s="532"/>
      <c r="E5" s="532"/>
      <c r="F5" s="533"/>
    </row>
    <row r="6" spans="1:137" s="529" customFormat="1" ht="15" customHeight="1">
      <c r="A6" s="525"/>
      <c r="B6" s="525"/>
      <c r="C6" s="525"/>
      <c r="D6" s="525"/>
      <c r="E6" s="525"/>
      <c r="F6" s="525"/>
    </row>
    <row r="7" spans="1:137" s="529" customFormat="1" ht="18.75" customHeight="1">
      <c r="A7" s="557" t="s">
        <v>228</v>
      </c>
      <c r="B7" s="559"/>
      <c r="C7" s="557"/>
      <c r="D7" s="557"/>
      <c r="E7" s="557"/>
      <c r="F7" s="558"/>
    </row>
    <row r="8" spans="1:137" ht="15" customHeight="1">
      <c r="A8" s="525"/>
      <c r="B8" s="525"/>
      <c r="C8" s="525"/>
      <c r="D8" s="525"/>
      <c r="E8" s="525"/>
      <c r="F8" s="525"/>
    </row>
    <row r="9" spans="1:137" s="571" customFormat="1" ht="15" customHeight="1" thickBot="1">
      <c r="A9" s="493"/>
      <c r="B9" s="570"/>
      <c r="C9" s="1877"/>
      <c r="D9" s="1877"/>
      <c r="E9" s="1877"/>
      <c r="F9" s="1907"/>
    </row>
    <row r="10" spans="1:137" ht="65.25" customHeight="1">
      <c r="A10" s="1891" t="s">
        <v>8</v>
      </c>
      <c r="B10" s="1895" t="s">
        <v>125</v>
      </c>
      <c r="C10" s="775" t="s">
        <v>1</v>
      </c>
      <c r="D10" s="775" t="s">
        <v>2</v>
      </c>
      <c r="E10" s="775" t="s">
        <v>3</v>
      </c>
      <c r="F10" s="1899" t="s">
        <v>226</v>
      </c>
    </row>
    <row r="11" spans="1:137" s="542" customFormat="1" ht="13.2">
      <c r="A11" s="539" t="s">
        <v>9</v>
      </c>
      <c r="B11" s="540" t="s">
        <v>10</v>
      </c>
      <c r="C11" s="541">
        <v>26</v>
      </c>
      <c r="D11" s="541">
        <v>22</v>
      </c>
      <c r="E11" s="541">
        <v>1</v>
      </c>
      <c r="F11" s="911">
        <f t="shared" ref="F11:F16" si="0">D11+E11</f>
        <v>23</v>
      </c>
      <c r="G11" s="523"/>
      <c r="H11" s="525"/>
      <c r="I11" s="525"/>
      <c r="J11" s="525"/>
      <c r="K11" s="525"/>
      <c r="L11" s="523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  <c r="DT11" s="523"/>
      <c r="DU11" s="523"/>
      <c r="DV11" s="523"/>
      <c r="DW11" s="523"/>
      <c r="DX11" s="523"/>
      <c r="DY11" s="523"/>
      <c r="DZ11" s="523"/>
      <c r="EA11" s="523"/>
      <c r="EB11" s="523"/>
      <c r="EC11" s="523"/>
      <c r="ED11" s="523"/>
      <c r="EE11" s="523"/>
      <c r="EF11" s="523"/>
      <c r="EG11" s="523"/>
    </row>
    <row r="12" spans="1:137" s="542" customFormat="1" ht="13.2">
      <c r="A12" s="543" t="s">
        <v>11</v>
      </c>
      <c r="B12" s="544" t="s">
        <v>12</v>
      </c>
      <c r="C12" s="545">
        <v>30</v>
      </c>
      <c r="D12" s="545">
        <v>22</v>
      </c>
      <c r="E12" s="545"/>
      <c r="F12" s="912">
        <f t="shared" si="0"/>
        <v>22</v>
      </c>
      <c r="G12" s="523"/>
      <c r="H12" s="525"/>
      <c r="I12" s="525"/>
      <c r="J12" s="525"/>
      <c r="K12" s="525"/>
      <c r="L12" s="523"/>
      <c r="M12" s="523"/>
      <c r="N12" s="523"/>
      <c r="O12" s="523"/>
      <c r="P12" s="523"/>
      <c r="Q12" s="523"/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523"/>
      <c r="AW12" s="523"/>
      <c r="AX12" s="523"/>
      <c r="AY12" s="523"/>
      <c r="AZ12" s="523"/>
      <c r="BA12" s="523"/>
      <c r="BB12" s="523"/>
      <c r="BC12" s="523"/>
      <c r="BD12" s="523"/>
      <c r="BE12" s="523"/>
      <c r="BF12" s="523"/>
      <c r="BG12" s="523"/>
      <c r="BH12" s="523"/>
      <c r="BI12" s="523"/>
      <c r="BJ12" s="523"/>
      <c r="BK12" s="523"/>
      <c r="BL12" s="523"/>
      <c r="BM12" s="523"/>
      <c r="BN12" s="523"/>
      <c r="BO12" s="523"/>
      <c r="BP12" s="523"/>
      <c r="BQ12" s="523"/>
      <c r="BR12" s="523"/>
      <c r="BS12" s="523"/>
      <c r="BT12" s="523"/>
      <c r="BU12" s="523"/>
      <c r="BV12" s="523"/>
      <c r="BW12" s="523"/>
      <c r="BX12" s="523"/>
      <c r="BY12" s="523"/>
      <c r="BZ12" s="523"/>
      <c r="CA12" s="523"/>
      <c r="CB12" s="523"/>
      <c r="CC12" s="523"/>
      <c r="CD12" s="523"/>
      <c r="CE12" s="523"/>
      <c r="CF12" s="523"/>
      <c r="CG12" s="523"/>
      <c r="CH12" s="523"/>
      <c r="CI12" s="523"/>
      <c r="CJ12" s="523"/>
      <c r="CK12" s="523"/>
      <c r="CL12" s="523"/>
      <c r="CM12" s="523"/>
      <c r="CN12" s="523"/>
      <c r="CO12" s="523"/>
      <c r="CP12" s="523"/>
      <c r="CQ12" s="523"/>
      <c r="CR12" s="523"/>
      <c r="CS12" s="523"/>
      <c r="CT12" s="523"/>
      <c r="CU12" s="523"/>
      <c r="CV12" s="523"/>
      <c r="CW12" s="523"/>
      <c r="CX12" s="523"/>
      <c r="CY12" s="523"/>
      <c r="CZ12" s="523"/>
      <c r="DA12" s="523"/>
      <c r="DB12" s="523"/>
      <c r="DC12" s="523"/>
      <c r="DD12" s="523"/>
      <c r="DE12" s="523"/>
      <c r="DF12" s="523"/>
      <c r="DG12" s="523"/>
      <c r="DH12" s="523"/>
      <c r="DI12" s="523"/>
      <c r="DJ12" s="523"/>
      <c r="DK12" s="523"/>
      <c r="DL12" s="523"/>
      <c r="DM12" s="523"/>
      <c r="DN12" s="523"/>
      <c r="DO12" s="523"/>
      <c r="DP12" s="523"/>
      <c r="DQ12" s="523"/>
      <c r="DR12" s="523"/>
      <c r="DS12" s="523"/>
      <c r="DT12" s="523"/>
      <c r="DU12" s="523"/>
      <c r="DV12" s="523"/>
      <c r="DW12" s="523"/>
      <c r="DX12" s="523"/>
      <c r="DY12" s="523"/>
      <c r="DZ12" s="523"/>
      <c r="EA12" s="523"/>
      <c r="EB12" s="523"/>
      <c r="EC12" s="523"/>
      <c r="ED12" s="523"/>
      <c r="EE12" s="523"/>
      <c r="EF12" s="523"/>
      <c r="EG12" s="523"/>
    </row>
    <row r="13" spans="1:137" s="542" customFormat="1" ht="13.2">
      <c r="A13" s="543" t="s">
        <v>13</v>
      </c>
      <c r="B13" s="544" t="s">
        <v>14</v>
      </c>
      <c r="C13" s="545">
        <v>4</v>
      </c>
      <c r="D13" s="545">
        <v>3</v>
      </c>
      <c r="E13" s="545"/>
      <c r="F13" s="912">
        <f t="shared" si="0"/>
        <v>3</v>
      </c>
      <c r="G13" s="523"/>
      <c r="H13" s="525"/>
      <c r="I13" s="525"/>
      <c r="J13" s="525"/>
      <c r="K13" s="525"/>
      <c r="L13" s="523"/>
      <c r="M13" s="523"/>
      <c r="N13" s="805">
        <f>25/109</f>
        <v>0.22935779816513763</v>
      </c>
      <c r="O13" s="523"/>
      <c r="P13" s="523"/>
      <c r="Q13" s="523"/>
      <c r="R13" s="523"/>
      <c r="S13" s="523"/>
      <c r="T13" s="523"/>
      <c r="U13" s="523"/>
      <c r="V13" s="523"/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23"/>
      <c r="AW13" s="523"/>
      <c r="AX13" s="523"/>
      <c r="AY13" s="523"/>
      <c r="AZ13" s="523"/>
      <c r="BA13" s="523"/>
      <c r="BB13" s="523"/>
      <c r="BC13" s="523"/>
      <c r="BD13" s="523"/>
      <c r="BE13" s="523"/>
      <c r="BF13" s="523"/>
      <c r="BG13" s="523"/>
      <c r="BH13" s="523"/>
      <c r="BI13" s="523"/>
      <c r="BJ13" s="523"/>
      <c r="BK13" s="523"/>
      <c r="BL13" s="523"/>
      <c r="BM13" s="523"/>
      <c r="BN13" s="523"/>
      <c r="BO13" s="523"/>
      <c r="BP13" s="523"/>
      <c r="BQ13" s="523"/>
      <c r="BR13" s="523"/>
      <c r="BS13" s="523"/>
      <c r="BT13" s="523"/>
      <c r="BU13" s="523"/>
      <c r="BV13" s="523"/>
      <c r="BW13" s="523"/>
      <c r="BX13" s="523"/>
      <c r="BY13" s="523"/>
      <c r="BZ13" s="523"/>
      <c r="CA13" s="523"/>
      <c r="CB13" s="523"/>
      <c r="CC13" s="523"/>
      <c r="CD13" s="523"/>
      <c r="CE13" s="523"/>
      <c r="CF13" s="523"/>
      <c r="CG13" s="523"/>
      <c r="CH13" s="523"/>
      <c r="CI13" s="523"/>
      <c r="CJ13" s="523"/>
      <c r="CK13" s="523"/>
      <c r="CL13" s="523"/>
      <c r="CM13" s="523"/>
      <c r="CN13" s="523"/>
      <c r="CO13" s="523"/>
      <c r="CP13" s="523"/>
      <c r="CQ13" s="523"/>
      <c r="CR13" s="523"/>
      <c r="CS13" s="523"/>
      <c r="CT13" s="523"/>
      <c r="CU13" s="523"/>
      <c r="CV13" s="523"/>
      <c r="CW13" s="523"/>
      <c r="CX13" s="523"/>
      <c r="CY13" s="523"/>
      <c r="CZ13" s="523"/>
      <c r="DA13" s="523"/>
      <c r="DB13" s="523"/>
      <c r="DC13" s="523"/>
      <c r="DD13" s="523"/>
      <c r="DE13" s="523"/>
      <c r="DF13" s="523"/>
      <c r="DG13" s="523"/>
      <c r="DH13" s="523"/>
      <c r="DI13" s="523"/>
      <c r="DJ13" s="523"/>
      <c r="DK13" s="523"/>
      <c r="DL13" s="523"/>
      <c r="DM13" s="523"/>
      <c r="DN13" s="523"/>
      <c r="DO13" s="523"/>
      <c r="DP13" s="523"/>
      <c r="DQ13" s="523"/>
      <c r="DR13" s="523"/>
      <c r="DS13" s="523"/>
      <c r="DT13" s="523"/>
      <c r="DU13" s="523"/>
      <c r="DV13" s="523"/>
      <c r="DW13" s="523"/>
      <c r="DX13" s="523"/>
      <c r="DY13" s="523"/>
      <c r="DZ13" s="523"/>
      <c r="EA13" s="523"/>
      <c r="EB13" s="523"/>
      <c r="EC13" s="523"/>
      <c r="ED13" s="523"/>
      <c r="EE13" s="523"/>
      <c r="EF13" s="523"/>
      <c r="EG13" s="523"/>
    </row>
    <row r="14" spans="1:137" s="542" customFormat="1" ht="13.2">
      <c r="A14" s="543" t="s">
        <v>15</v>
      </c>
      <c r="B14" s="544" t="s">
        <v>16</v>
      </c>
      <c r="C14" s="545">
        <v>6</v>
      </c>
      <c r="D14" s="545">
        <v>5</v>
      </c>
      <c r="E14" s="545">
        <v>1</v>
      </c>
      <c r="F14" s="912">
        <f t="shared" si="0"/>
        <v>6</v>
      </c>
      <c r="G14" s="523"/>
      <c r="H14" s="525"/>
      <c r="I14" s="525"/>
      <c r="J14" s="525"/>
      <c r="K14" s="525"/>
      <c r="L14" s="523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23"/>
      <c r="AV14" s="523"/>
      <c r="AW14" s="523"/>
      <c r="AX14" s="523"/>
      <c r="AY14" s="523"/>
      <c r="AZ14" s="523"/>
      <c r="BA14" s="523"/>
      <c r="BB14" s="523"/>
      <c r="BC14" s="523"/>
      <c r="BD14" s="523"/>
      <c r="BE14" s="523"/>
      <c r="BF14" s="523"/>
      <c r="BG14" s="523"/>
      <c r="BH14" s="523"/>
      <c r="BI14" s="523"/>
      <c r="BJ14" s="523"/>
      <c r="BK14" s="523"/>
      <c r="BL14" s="523"/>
      <c r="BM14" s="523"/>
      <c r="BN14" s="523"/>
      <c r="BO14" s="523"/>
      <c r="BP14" s="523"/>
      <c r="BQ14" s="523"/>
      <c r="BR14" s="523"/>
      <c r="BS14" s="523"/>
      <c r="BT14" s="523"/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/>
      <c r="CJ14" s="523"/>
      <c r="CK14" s="523"/>
      <c r="CL14" s="523"/>
      <c r="CM14" s="523"/>
      <c r="CN14" s="523"/>
      <c r="CO14" s="523"/>
      <c r="CP14" s="523"/>
      <c r="CQ14" s="523"/>
      <c r="CR14" s="523"/>
      <c r="CS14" s="523"/>
      <c r="CT14" s="523"/>
      <c r="CU14" s="523"/>
      <c r="CV14" s="523"/>
      <c r="CW14" s="523"/>
      <c r="CX14" s="523"/>
      <c r="CY14" s="523"/>
      <c r="CZ14" s="523"/>
      <c r="DA14" s="523"/>
      <c r="DB14" s="523"/>
      <c r="DC14" s="523"/>
      <c r="DD14" s="523"/>
      <c r="DE14" s="523"/>
      <c r="DF14" s="523"/>
      <c r="DG14" s="523"/>
      <c r="DH14" s="523"/>
      <c r="DI14" s="523"/>
      <c r="DJ14" s="523"/>
      <c r="DK14" s="523"/>
      <c r="DL14" s="523"/>
      <c r="DM14" s="523"/>
      <c r="DN14" s="523"/>
      <c r="DO14" s="523"/>
      <c r="DP14" s="523"/>
      <c r="DQ14" s="523"/>
      <c r="DR14" s="523"/>
      <c r="DS14" s="523"/>
      <c r="DT14" s="523"/>
      <c r="DU14" s="523"/>
      <c r="DV14" s="523"/>
      <c r="DW14" s="523"/>
      <c r="DX14" s="523"/>
      <c r="DY14" s="523"/>
      <c r="DZ14" s="523"/>
      <c r="EA14" s="523"/>
      <c r="EB14" s="523"/>
      <c r="EC14" s="523"/>
      <c r="ED14" s="523"/>
      <c r="EE14" s="523"/>
      <c r="EF14" s="523"/>
      <c r="EG14" s="523"/>
    </row>
    <row r="15" spans="1:137" s="542" customFormat="1" ht="13.2">
      <c r="A15" s="543" t="s">
        <v>17</v>
      </c>
      <c r="B15" s="544" t="s">
        <v>18</v>
      </c>
      <c r="C15" s="545">
        <v>18</v>
      </c>
      <c r="D15" s="545">
        <v>14</v>
      </c>
      <c r="E15" s="545"/>
      <c r="F15" s="912">
        <f t="shared" si="0"/>
        <v>14</v>
      </c>
      <c r="G15" s="523"/>
      <c r="H15" s="525"/>
      <c r="I15" s="525"/>
      <c r="J15" s="525">
        <f>131/751</f>
        <v>0.17443408788282291</v>
      </c>
      <c r="K15" s="525"/>
      <c r="L15" s="523"/>
      <c r="M15" s="523"/>
      <c r="N15" s="523"/>
      <c r="O15" s="523"/>
      <c r="P15" s="523"/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23"/>
      <c r="AW15" s="523"/>
      <c r="AX15" s="523"/>
      <c r="AY15" s="523"/>
      <c r="AZ15" s="523"/>
      <c r="BA15" s="523"/>
      <c r="BB15" s="523"/>
      <c r="BC15" s="523"/>
      <c r="BD15" s="523"/>
      <c r="BE15" s="523"/>
      <c r="BF15" s="523"/>
      <c r="BG15" s="523"/>
      <c r="BH15" s="523"/>
      <c r="BI15" s="523"/>
      <c r="BJ15" s="523"/>
      <c r="BK15" s="523"/>
      <c r="BL15" s="523"/>
      <c r="BM15" s="523"/>
      <c r="BN15" s="523"/>
      <c r="BO15" s="523"/>
      <c r="BP15" s="523"/>
      <c r="BQ15" s="523"/>
      <c r="BR15" s="523"/>
      <c r="BS15" s="523"/>
      <c r="BT15" s="523"/>
      <c r="BU15" s="523"/>
      <c r="BV15" s="523"/>
      <c r="BW15" s="523"/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/>
      <c r="CJ15" s="523"/>
      <c r="CK15" s="523"/>
      <c r="CL15" s="523"/>
      <c r="CM15" s="523"/>
      <c r="CN15" s="523"/>
      <c r="CO15" s="523"/>
      <c r="CP15" s="523"/>
      <c r="CQ15" s="523"/>
      <c r="CR15" s="523"/>
      <c r="CS15" s="523"/>
      <c r="CT15" s="523"/>
      <c r="CU15" s="523"/>
      <c r="CV15" s="523"/>
      <c r="CW15" s="523"/>
      <c r="CX15" s="523"/>
      <c r="CY15" s="523"/>
      <c r="CZ15" s="523"/>
      <c r="DA15" s="523"/>
      <c r="DB15" s="523"/>
      <c r="DC15" s="523"/>
      <c r="DD15" s="523"/>
      <c r="DE15" s="523"/>
      <c r="DF15" s="523"/>
      <c r="DG15" s="523"/>
      <c r="DH15" s="523"/>
      <c r="DI15" s="523"/>
      <c r="DJ15" s="523"/>
      <c r="DK15" s="523"/>
      <c r="DL15" s="523"/>
      <c r="DM15" s="523"/>
      <c r="DN15" s="523"/>
      <c r="DO15" s="523"/>
      <c r="DP15" s="523"/>
      <c r="DQ15" s="523"/>
      <c r="DR15" s="523"/>
      <c r="DS15" s="523"/>
      <c r="DT15" s="523"/>
      <c r="DU15" s="523"/>
      <c r="DV15" s="523"/>
      <c r="DW15" s="523"/>
      <c r="DX15" s="523"/>
      <c r="DY15" s="523"/>
      <c r="DZ15" s="523"/>
      <c r="EA15" s="523"/>
      <c r="EB15" s="523"/>
      <c r="EC15" s="523"/>
      <c r="ED15" s="523"/>
      <c r="EE15" s="523"/>
      <c r="EF15" s="523"/>
      <c r="EG15" s="523"/>
    </row>
    <row r="16" spans="1:137" s="542" customFormat="1" ht="13.2">
      <c r="A16" s="543" t="s">
        <v>19</v>
      </c>
      <c r="B16" s="544" t="s">
        <v>20</v>
      </c>
      <c r="C16" s="545">
        <v>25</v>
      </c>
      <c r="D16" s="545">
        <v>16</v>
      </c>
      <c r="E16" s="545"/>
      <c r="F16" s="912">
        <f t="shared" si="0"/>
        <v>16</v>
      </c>
      <c r="G16" s="523"/>
      <c r="H16" s="525"/>
      <c r="I16" s="525"/>
      <c r="J16" s="525"/>
      <c r="K16" s="525"/>
      <c r="L16" s="523"/>
      <c r="M16" s="523"/>
      <c r="N16" s="523"/>
      <c r="O16" s="523"/>
      <c r="P16" s="523"/>
      <c r="Q16" s="523"/>
      <c r="R16" s="523"/>
      <c r="S16" s="523"/>
      <c r="T16" s="523"/>
      <c r="U16" s="523"/>
      <c r="V16" s="523"/>
      <c r="W16" s="523"/>
      <c r="X16" s="523"/>
      <c r="Y16" s="523"/>
      <c r="Z16" s="523"/>
      <c r="AA16" s="523"/>
      <c r="AB16" s="523"/>
      <c r="AC16" s="523"/>
      <c r="AD16" s="523"/>
      <c r="AE16" s="523"/>
      <c r="AF16" s="523"/>
      <c r="AG16" s="523"/>
      <c r="AH16" s="523"/>
      <c r="AI16" s="523"/>
      <c r="AJ16" s="523"/>
      <c r="AK16" s="523"/>
      <c r="AL16" s="523"/>
      <c r="AM16" s="523"/>
      <c r="AN16" s="523"/>
      <c r="AO16" s="523"/>
      <c r="AP16" s="523"/>
      <c r="AQ16" s="523"/>
      <c r="AR16" s="523"/>
      <c r="AS16" s="523"/>
      <c r="AT16" s="523"/>
      <c r="AU16" s="523"/>
      <c r="AV16" s="523"/>
      <c r="AW16" s="523"/>
      <c r="AX16" s="523"/>
      <c r="AY16" s="523"/>
      <c r="AZ16" s="523"/>
      <c r="BA16" s="523"/>
      <c r="BB16" s="523"/>
      <c r="BC16" s="523"/>
      <c r="BD16" s="523"/>
      <c r="BE16" s="523"/>
      <c r="BF16" s="523"/>
      <c r="BG16" s="523"/>
      <c r="BH16" s="523"/>
      <c r="BI16" s="523"/>
      <c r="BJ16" s="523"/>
      <c r="BK16" s="523"/>
      <c r="BL16" s="523"/>
      <c r="BM16" s="523"/>
      <c r="BN16" s="523"/>
      <c r="BO16" s="523"/>
      <c r="BP16" s="523"/>
      <c r="BQ16" s="523"/>
      <c r="BR16" s="523"/>
      <c r="BS16" s="523"/>
      <c r="BT16" s="523"/>
      <c r="BU16" s="523"/>
      <c r="BV16" s="523"/>
      <c r="BW16" s="523"/>
      <c r="BX16" s="523"/>
      <c r="BY16" s="523"/>
      <c r="BZ16" s="523"/>
      <c r="CA16" s="523"/>
      <c r="CB16" s="523"/>
      <c r="CC16" s="523"/>
      <c r="CD16" s="523"/>
      <c r="CE16" s="523"/>
      <c r="CF16" s="523"/>
      <c r="CG16" s="523"/>
      <c r="CH16" s="523"/>
      <c r="CI16" s="523"/>
      <c r="CJ16" s="523"/>
      <c r="CK16" s="523"/>
      <c r="CL16" s="523"/>
      <c r="CM16" s="523"/>
      <c r="CN16" s="523"/>
      <c r="CO16" s="523"/>
      <c r="CP16" s="523"/>
      <c r="CQ16" s="523"/>
      <c r="CR16" s="523"/>
      <c r="CS16" s="523"/>
      <c r="CT16" s="523"/>
      <c r="CU16" s="523"/>
      <c r="CV16" s="523"/>
      <c r="CW16" s="523"/>
      <c r="CX16" s="523"/>
      <c r="CY16" s="523"/>
      <c r="CZ16" s="523"/>
      <c r="DA16" s="523"/>
      <c r="DB16" s="523"/>
      <c r="DC16" s="523"/>
      <c r="DD16" s="523"/>
      <c r="DE16" s="523"/>
      <c r="DF16" s="523"/>
      <c r="DG16" s="523"/>
      <c r="DH16" s="523"/>
      <c r="DI16" s="523"/>
      <c r="DJ16" s="523"/>
      <c r="DK16" s="523"/>
      <c r="DL16" s="523"/>
      <c r="DM16" s="523"/>
      <c r="DN16" s="523"/>
      <c r="DO16" s="523"/>
      <c r="DP16" s="523"/>
      <c r="DQ16" s="523"/>
      <c r="DR16" s="523"/>
      <c r="DS16" s="523"/>
      <c r="DT16" s="523"/>
      <c r="DU16" s="523"/>
      <c r="DV16" s="523"/>
      <c r="DW16" s="523"/>
      <c r="DX16" s="523"/>
      <c r="DY16" s="523"/>
      <c r="DZ16" s="523"/>
      <c r="EA16" s="523"/>
      <c r="EB16" s="523"/>
      <c r="EC16" s="523"/>
      <c r="ED16" s="523"/>
      <c r="EE16" s="523"/>
      <c r="EF16" s="523"/>
      <c r="EG16" s="523"/>
    </row>
    <row r="17" spans="1:177" ht="13.8" thickBot="1">
      <c r="A17" s="1865" t="s">
        <v>105</v>
      </c>
      <c r="B17" s="1866"/>
      <c r="C17" s="921">
        <f>SUM(C11:C16)</f>
        <v>109</v>
      </c>
      <c r="D17" s="922">
        <f>SUM(D11:D16)</f>
        <v>82</v>
      </c>
      <c r="E17" s="922">
        <f>SUM(E11:E16)</f>
        <v>2</v>
      </c>
      <c r="F17" s="919">
        <f>SUM(F11:F16)</f>
        <v>84</v>
      </c>
      <c r="G17" s="566"/>
      <c r="H17" s="566"/>
      <c r="I17" s="566"/>
      <c r="J17" s="566"/>
      <c r="K17" s="542"/>
      <c r="L17" s="542"/>
      <c r="M17" s="542"/>
      <c r="N17" s="542"/>
      <c r="O17" s="542"/>
      <c r="P17" s="542"/>
      <c r="Q17" s="542"/>
      <c r="R17" s="542"/>
      <c r="S17" s="542"/>
      <c r="T17" s="542"/>
      <c r="U17" s="542"/>
      <c r="V17" s="542"/>
      <c r="W17" s="542"/>
      <c r="X17" s="542"/>
      <c r="Y17" s="542"/>
      <c r="Z17" s="542"/>
      <c r="AA17" s="542"/>
      <c r="AB17" s="542"/>
      <c r="AC17" s="542"/>
      <c r="AD17" s="542"/>
      <c r="AE17" s="542"/>
      <c r="AF17" s="542"/>
      <c r="AG17" s="542"/>
      <c r="AH17" s="542"/>
      <c r="AI17" s="542"/>
      <c r="AJ17" s="542"/>
      <c r="AK17" s="542"/>
      <c r="AL17" s="542"/>
      <c r="AM17" s="542"/>
      <c r="AN17" s="542"/>
      <c r="AO17" s="542"/>
      <c r="AP17" s="542"/>
      <c r="AQ17" s="542"/>
      <c r="AR17" s="542"/>
      <c r="AS17" s="542"/>
      <c r="AT17" s="542"/>
      <c r="AU17" s="542"/>
      <c r="AV17" s="542"/>
      <c r="AW17" s="542"/>
      <c r="AX17" s="542"/>
      <c r="AY17" s="542"/>
      <c r="AZ17" s="542"/>
      <c r="BA17" s="542"/>
      <c r="BB17" s="542"/>
      <c r="BC17" s="542"/>
      <c r="BD17" s="542"/>
      <c r="BE17" s="542"/>
      <c r="BF17" s="542"/>
      <c r="BG17" s="542"/>
      <c r="BH17" s="542"/>
      <c r="BI17" s="542"/>
      <c r="BJ17" s="542"/>
      <c r="BK17" s="542"/>
      <c r="BL17" s="542"/>
      <c r="BM17" s="542"/>
      <c r="BN17" s="542"/>
      <c r="BO17" s="542"/>
      <c r="BP17" s="542"/>
      <c r="BQ17" s="542"/>
      <c r="BR17" s="542"/>
      <c r="BS17" s="542"/>
      <c r="BT17" s="542"/>
      <c r="BU17" s="542"/>
      <c r="BV17" s="542"/>
      <c r="BW17" s="542"/>
      <c r="BX17" s="542"/>
      <c r="BY17" s="542"/>
      <c r="BZ17" s="542"/>
      <c r="CA17" s="542"/>
      <c r="CB17" s="542"/>
      <c r="CC17" s="542"/>
      <c r="CD17" s="542"/>
      <c r="CE17" s="542"/>
      <c r="CF17" s="542"/>
      <c r="CG17" s="542"/>
      <c r="CH17" s="542"/>
      <c r="CI17" s="542"/>
      <c r="CJ17" s="542"/>
      <c r="CK17" s="542"/>
      <c r="CL17" s="542"/>
      <c r="CM17" s="542"/>
      <c r="CN17" s="542"/>
      <c r="CO17" s="542"/>
      <c r="CP17" s="542"/>
      <c r="CQ17" s="542"/>
      <c r="CR17" s="542"/>
      <c r="CS17" s="542"/>
      <c r="CT17" s="542"/>
      <c r="CU17" s="542"/>
      <c r="CV17" s="542"/>
      <c r="CW17" s="542"/>
      <c r="CX17" s="542"/>
      <c r="CY17" s="542"/>
      <c r="CZ17" s="542"/>
      <c r="DA17" s="542"/>
      <c r="DB17" s="542"/>
      <c r="DC17" s="542"/>
      <c r="DD17" s="542"/>
      <c r="DE17" s="542"/>
      <c r="DF17" s="542"/>
      <c r="DG17" s="542"/>
      <c r="DH17" s="542"/>
      <c r="DI17" s="542"/>
      <c r="DJ17" s="542"/>
      <c r="DK17" s="542"/>
      <c r="DL17" s="542"/>
      <c r="DM17" s="542"/>
      <c r="DN17" s="542"/>
      <c r="DO17" s="542"/>
      <c r="DP17" s="542"/>
      <c r="DQ17" s="542"/>
      <c r="DR17" s="542"/>
      <c r="DS17" s="542"/>
      <c r="DT17" s="542"/>
      <c r="DU17" s="542"/>
      <c r="DV17" s="542"/>
      <c r="DW17" s="542"/>
      <c r="DX17" s="542"/>
      <c r="DY17" s="542"/>
      <c r="DZ17" s="542"/>
      <c r="EA17" s="542"/>
      <c r="EB17" s="542"/>
      <c r="EC17" s="542"/>
      <c r="ED17" s="542"/>
      <c r="EE17" s="542"/>
      <c r="EF17" s="542"/>
      <c r="EG17" s="542"/>
      <c r="EH17" s="542"/>
      <c r="EI17" s="542"/>
      <c r="EJ17" s="542"/>
      <c r="EK17" s="542"/>
      <c r="EL17" s="542"/>
      <c r="EM17" s="542"/>
      <c r="EN17" s="542"/>
      <c r="EO17" s="542"/>
      <c r="EP17" s="542"/>
      <c r="EQ17" s="542"/>
      <c r="ER17" s="542"/>
      <c r="ES17" s="542"/>
      <c r="ET17" s="542"/>
      <c r="EU17" s="542"/>
      <c r="EV17" s="542"/>
      <c r="EW17" s="542"/>
      <c r="EX17" s="542"/>
      <c r="EY17" s="542"/>
      <c r="EZ17" s="542"/>
      <c r="FA17" s="542"/>
      <c r="FB17" s="542"/>
      <c r="FC17" s="542"/>
      <c r="FD17" s="542"/>
      <c r="FE17" s="542"/>
      <c r="FF17" s="542"/>
      <c r="FG17" s="542"/>
      <c r="FH17" s="542"/>
      <c r="FI17" s="542"/>
      <c r="FJ17" s="542"/>
      <c r="FK17" s="542"/>
      <c r="FL17" s="542"/>
      <c r="FM17" s="542"/>
      <c r="FN17" s="542"/>
      <c r="FO17" s="542"/>
      <c r="FP17" s="542"/>
      <c r="FQ17" s="542"/>
      <c r="FR17" s="542"/>
      <c r="FS17" s="542"/>
      <c r="FT17" s="542"/>
      <c r="FU17" s="542"/>
    </row>
    <row r="18" spans="1:177" ht="13.8" thickBot="1">
      <c r="A18" s="552" t="str">
        <f>'fiche technique'!A14</f>
        <v>Source: GALAXIE (ANTEE), DGRH A1-1 &amp; DGRH A2, juin 2014</v>
      </c>
      <c r="B18" s="564"/>
      <c r="C18" s="565"/>
      <c r="D18" s="923">
        <f>D17/$C$17</f>
        <v>0.75229357798165142</v>
      </c>
      <c r="E18" s="924">
        <f>E17/$C$17</f>
        <v>1.834862385321101E-2</v>
      </c>
      <c r="F18" s="920">
        <f>F17/$C$17</f>
        <v>0.77064220183486243</v>
      </c>
      <c r="G18" s="566"/>
      <c r="H18" s="566"/>
      <c r="I18" s="566"/>
      <c r="J18" s="566"/>
      <c r="K18" s="542"/>
      <c r="L18" s="542"/>
      <c r="M18" s="542"/>
      <c r="N18" s="542"/>
      <c r="O18" s="542"/>
      <c r="P18" s="542"/>
      <c r="Q18" s="542"/>
      <c r="R18" s="542"/>
      <c r="S18" s="542"/>
      <c r="T18" s="542"/>
      <c r="U18" s="542"/>
      <c r="V18" s="542"/>
      <c r="W18" s="542"/>
      <c r="X18" s="542"/>
      <c r="Y18" s="542"/>
      <c r="Z18" s="542"/>
      <c r="AA18" s="542"/>
      <c r="AB18" s="542"/>
      <c r="AC18" s="542"/>
      <c r="AD18" s="542"/>
      <c r="AE18" s="542"/>
      <c r="AF18" s="542"/>
      <c r="AG18" s="542"/>
      <c r="AH18" s="542"/>
      <c r="AI18" s="542"/>
      <c r="AJ18" s="542"/>
      <c r="AK18" s="542"/>
      <c r="AL18" s="542"/>
      <c r="AM18" s="542"/>
      <c r="AN18" s="542"/>
      <c r="AO18" s="542"/>
      <c r="AP18" s="542"/>
      <c r="AQ18" s="542"/>
      <c r="AR18" s="542"/>
      <c r="AS18" s="542"/>
      <c r="AT18" s="542"/>
      <c r="AU18" s="542"/>
      <c r="AV18" s="542"/>
      <c r="AW18" s="542"/>
      <c r="AX18" s="542"/>
      <c r="AY18" s="542"/>
      <c r="AZ18" s="542"/>
      <c r="BA18" s="542"/>
      <c r="BB18" s="542"/>
      <c r="BC18" s="542"/>
      <c r="BD18" s="542"/>
      <c r="BE18" s="542"/>
      <c r="BF18" s="542"/>
      <c r="BG18" s="542"/>
      <c r="BH18" s="542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V18" s="542"/>
      <c r="CW18" s="542"/>
      <c r="CX18" s="542"/>
      <c r="CY18" s="542"/>
      <c r="CZ18" s="542"/>
      <c r="DA18" s="542"/>
      <c r="DB18" s="542"/>
      <c r="DC18" s="542"/>
      <c r="DD18" s="542"/>
      <c r="DE18" s="542"/>
      <c r="DF18" s="542"/>
      <c r="DG18" s="542"/>
      <c r="DH18" s="542"/>
      <c r="DI18" s="542"/>
      <c r="DJ18" s="542"/>
      <c r="DK18" s="542"/>
      <c r="DL18" s="542"/>
      <c r="DM18" s="542"/>
      <c r="DN18" s="542"/>
      <c r="DO18" s="542"/>
      <c r="DP18" s="542"/>
      <c r="DQ18" s="542"/>
      <c r="DR18" s="542"/>
      <c r="DS18" s="542"/>
      <c r="DT18" s="542"/>
      <c r="DU18" s="542"/>
      <c r="DV18" s="542"/>
      <c r="DW18" s="542"/>
      <c r="DX18" s="542"/>
      <c r="DY18" s="542"/>
      <c r="DZ18" s="542"/>
      <c r="EA18" s="542"/>
      <c r="EB18" s="542"/>
      <c r="EC18" s="542"/>
      <c r="ED18" s="542"/>
      <c r="EE18" s="542"/>
      <c r="EF18" s="542"/>
      <c r="EG18" s="542"/>
      <c r="EH18" s="542"/>
      <c r="EI18" s="542"/>
      <c r="EJ18" s="542"/>
      <c r="EK18" s="542"/>
      <c r="EL18" s="542"/>
      <c r="EM18" s="542"/>
      <c r="EN18" s="542"/>
      <c r="EO18" s="542"/>
      <c r="EP18" s="542"/>
      <c r="EQ18" s="542"/>
      <c r="ER18" s="542"/>
      <c r="ES18" s="542"/>
      <c r="ET18" s="542"/>
      <c r="EU18" s="542"/>
      <c r="EV18" s="542"/>
      <c r="EW18" s="542"/>
      <c r="EX18" s="542"/>
      <c r="EY18" s="542"/>
      <c r="EZ18" s="542"/>
      <c r="FA18" s="542"/>
      <c r="FB18" s="542"/>
      <c r="FC18" s="542"/>
      <c r="FD18" s="542"/>
      <c r="FE18" s="542"/>
      <c r="FF18" s="542"/>
      <c r="FG18" s="542"/>
      <c r="FH18" s="542"/>
      <c r="FI18" s="542"/>
      <c r="FJ18" s="542"/>
      <c r="FK18" s="542"/>
      <c r="FL18" s="542"/>
      <c r="FM18" s="542"/>
      <c r="FN18" s="542"/>
      <c r="FO18" s="542"/>
      <c r="FP18" s="542"/>
      <c r="FQ18" s="542"/>
      <c r="FR18" s="542"/>
      <c r="FS18" s="542"/>
      <c r="FT18" s="542"/>
      <c r="FU18" s="542"/>
    </row>
    <row r="19" spans="1:177" ht="13.2">
      <c r="D19" s="63"/>
      <c r="G19" s="566"/>
      <c r="H19" s="566"/>
      <c r="I19" s="566"/>
      <c r="J19" s="566"/>
      <c r="K19" s="542"/>
      <c r="L19" s="542"/>
      <c r="M19" s="542"/>
      <c r="N19" s="542"/>
      <c r="O19" s="542"/>
      <c r="P19" s="542"/>
      <c r="Q19" s="542"/>
      <c r="R19" s="542"/>
      <c r="S19" s="542"/>
      <c r="T19" s="542"/>
      <c r="U19" s="542"/>
      <c r="V19" s="542"/>
      <c r="W19" s="542"/>
      <c r="X19" s="542"/>
      <c r="Y19" s="542"/>
      <c r="Z19" s="542"/>
      <c r="AA19" s="542"/>
      <c r="AB19" s="542"/>
      <c r="AC19" s="542"/>
      <c r="AD19" s="542"/>
      <c r="AE19" s="542"/>
      <c r="AF19" s="542"/>
      <c r="AG19" s="542"/>
      <c r="AH19" s="542"/>
      <c r="AI19" s="542"/>
      <c r="AJ19" s="542"/>
      <c r="AK19" s="542"/>
      <c r="AL19" s="542"/>
      <c r="AM19" s="542"/>
      <c r="AN19" s="542"/>
      <c r="AO19" s="542"/>
      <c r="AP19" s="542"/>
      <c r="AQ19" s="542"/>
      <c r="AR19" s="542"/>
      <c r="AS19" s="542"/>
      <c r="AT19" s="542"/>
      <c r="AU19" s="542"/>
      <c r="AV19" s="542"/>
      <c r="AW19" s="542"/>
      <c r="AX19" s="542"/>
      <c r="AY19" s="542"/>
      <c r="AZ19" s="542"/>
      <c r="BA19" s="542"/>
      <c r="BB19" s="542"/>
      <c r="BC19" s="542"/>
      <c r="BD19" s="542"/>
      <c r="BE19" s="542"/>
      <c r="BF19" s="542"/>
      <c r="BG19" s="542"/>
      <c r="BH19" s="542"/>
      <c r="BI19" s="542"/>
      <c r="BJ19" s="542"/>
      <c r="BK19" s="542"/>
      <c r="BL19" s="542"/>
      <c r="BM19" s="542"/>
      <c r="BN19" s="542"/>
      <c r="BO19" s="542"/>
      <c r="BP19" s="542"/>
      <c r="BQ19" s="542"/>
      <c r="BR19" s="542"/>
      <c r="BS19" s="542"/>
      <c r="BT19" s="542"/>
      <c r="BU19" s="542"/>
      <c r="BV19" s="542"/>
      <c r="BW19" s="542"/>
      <c r="BX19" s="542"/>
      <c r="BY19" s="542"/>
      <c r="BZ19" s="542"/>
      <c r="CA19" s="542"/>
      <c r="CB19" s="542"/>
      <c r="CC19" s="542"/>
      <c r="CD19" s="542"/>
      <c r="CE19" s="542"/>
      <c r="CF19" s="542"/>
      <c r="CG19" s="542"/>
      <c r="CH19" s="542"/>
      <c r="CI19" s="542"/>
      <c r="CJ19" s="542"/>
      <c r="CK19" s="542"/>
      <c r="CL19" s="542"/>
      <c r="CM19" s="542"/>
      <c r="CN19" s="542"/>
      <c r="CO19" s="542"/>
      <c r="CP19" s="542"/>
      <c r="CQ19" s="542"/>
      <c r="CR19" s="542"/>
      <c r="CS19" s="542"/>
      <c r="CT19" s="542"/>
      <c r="CU19" s="542"/>
      <c r="CV19" s="542"/>
      <c r="CW19" s="542"/>
      <c r="CX19" s="542"/>
      <c r="CY19" s="542"/>
      <c r="CZ19" s="542"/>
      <c r="DA19" s="542"/>
      <c r="DB19" s="542"/>
      <c r="DC19" s="542"/>
      <c r="DD19" s="542"/>
      <c r="DE19" s="542"/>
      <c r="DF19" s="542"/>
      <c r="DG19" s="542"/>
      <c r="DH19" s="542"/>
      <c r="DI19" s="542"/>
      <c r="DJ19" s="542"/>
      <c r="DK19" s="542"/>
      <c r="DL19" s="542"/>
      <c r="DM19" s="542"/>
      <c r="DN19" s="542"/>
      <c r="DO19" s="542"/>
      <c r="DP19" s="542"/>
      <c r="DQ19" s="542"/>
      <c r="DR19" s="542"/>
      <c r="DS19" s="542"/>
      <c r="DT19" s="542"/>
      <c r="DU19" s="542"/>
      <c r="DV19" s="542"/>
      <c r="DW19" s="542"/>
      <c r="DX19" s="542"/>
      <c r="DY19" s="542"/>
      <c r="DZ19" s="542"/>
      <c r="EA19" s="542"/>
      <c r="EB19" s="542"/>
      <c r="EC19" s="542"/>
      <c r="ED19" s="542"/>
      <c r="EE19" s="542"/>
      <c r="EF19" s="542"/>
      <c r="EG19" s="542"/>
      <c r="EH19" s="542"/>
      <c r="EI19" s="542"/>
      <c r="EJ19" s="542"/>
      <c r="EK19" s="542"/>
      <c r="EL19" s="542"/>
      <c r="EM19" s="542"/>
      <c r="EN19" s="542"/>
      <c r="EO19" s="542"/>
      <c r="EP19" s="542"/>
      <c r="EQ19" s="542"/>
      <c r="ER19" s="542"/>
      <c r="ES19" s="542"/>
      <c r="ET19" s="542"/>
      <c r="EU19" s="542"/>
      <c r="EV19" s="542"/>
      <c r="EW19" s="542"/>
      <c r="EX19" s="542"/>
      <c r="EY19" s="542"/>
      <c r="EZ19" s="542"/>
      <c r="FA19" s="542"/>
      <c r="FB19" s="542"/>
      <c r="FC19" s="542"/>
      <c r="FD19" s="542"/>
      <c r="FE19" s="542"/>
      <c r="FF19" s="542"/>
      <c r="FG19" s="542"/>
      <c r="FH19" s="542"/>
      <c r="FI19" s="542"/>
      <c r="FJ19" s="542"/>
      <c r="FK19" s="542"/>
      <c r="FL19" s="542"/>
      <c r="FM19" s="542"/>
      <c r="FN19" s="542"/>
      <c r="FO19" s="542"/>
      <c r="FP19" s="542"/>
      <c r="FQ19" s="542"/>
      <c r="FR19" s="542"/>
      <c r="FS19" s="542"/>
      <c r="FT19" s="542"/>
      <c r="FU19" s="542"/>
    </row>
    <row r="20" spans="1:177" ht="13.2">
      <c r="G20" s="566"/>
      <c r="H20" s="566"/>
      <c r="I20" s="566"/>
      <c r="J20" s="566"/>
      <c r="K20" s="542"/>
      <c r="L20" s="542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542"/>
      <c r="X20" s="542"/>
      <c r="Y20" s="542"/>
      <c r="Z20" s="542"/>
      <c r="AA20" s="542"/>
      <c r="AB20" s="542"/>
      <c r="AC20" s="542"/>
      <c r="AD20" s="542"/>
      <c r="AE20" s="542"/>
      <c r="AF20" s="542"/>
      <c r="AG20" s="542"/>
      <c r="AH20" s="542"/>
      <c r="AI20" s="542"/>
      <c r="AJ20" s="542"/>
      <c r="AK20" s="542"/>
      <c r="AL20" s="542"/>
      <c r="AM20" s="542"/>
      <c r="AN20" s="542"/>
      <c r="AO20" s="542"/>
      <c r="AP20" s="542"/>
      <c r="AQ20" s="542"/>
      <c r="AR20" s="542"/>
      <c r="AS20" s="542"/>
      <c r="AT20" s="542"/>
      <c r="AU20" s="542"/>
      <c r="AV20" s="542"/>
      <c r="AW20" s="542"/>
      <c r="AX20" s="542"/>
      <c r="AY20" s="542"/>
      <c r="AZ20" s="542"/>
      <c r="BA20" s="542"/>
      <c r="BB20" s="542"/>
      <c r="BC20" s="542"/>
      <c r="BD20" s="542"/>
      <c r="BE20" s="542"/>
      <c r="BF20" s="542"/>
      <c r="BG20" s="542"/>
      <c r="BH20" s="542"/>
      <c r="BI20" s="542"/>
      <c r="BJ20" s="542"/>
      <c r="BK20" s="542"/>
      <c r="BL20" s="542"/>
      <c r="BM20" s="542"/>
      <c r="BN20" s="542"/>
      <c r="BO20" s="542"/>
      <c r="BP20" s="542"/>
      <c r="BQ20" s="542"/>
      <c r="BR20" s="542"/>
      <c r="BS20" s="542"/>
      <c r="BT20" s="542"/>
      <c r="BU20" s="542"/>
      <c r="BV20" s="542"/>
      <c r="BW20" s="542"/>
      <c r="BX20" s="542"/>
      <c r="BY20" s="542"/>
      <c r="BZ20" s="542"/>
      <c r="CA20" s="542"/>
      <c r="CB20" s="542"/>
      <c r="CC20" s="542"/>
      <c r="CD20" s="542"/>
      <c r="CE20" s="542"/>
      <c r="CF20" s="542"/>
      <c r="CG20" s="542"/>
      <c r="CH20" s="542"/>
      <c r="CI20" s="542"/>
      <c r="CJ20" s="542"/>
      <c r="CK20" s="542"/>
      <c r="CL20" s="542"/>
      <c r="CM20" s="542"/>
      <c r="CN20" s="542"/>
      <c r="CO20" s="542"/>
      <c r="CP20" s="542"/>
      <c r="CQ20" s="542"/>
      <c r="CR20" s="542"/>
      <c r="CS20" s="542"/>
      <c r="CT20" s="542"/>
      <c r="CU20" s="542"/>
      <c r="CV20" s="542"/>
      <c r="CW20" s="542"/>
      <c r="CX20" s="542"/>
      <c r="CY20" s="542"/>
      <c r="CZ20" s="542"/>
      <c r="DA20" s="542"/>
      <c r="DB20" s="542"/>
      <c r="DC20" s="542"/>
      <c r="DD20" s="542"/>
      <c r="DE20" s="542"/>
      <c r="DF20" s="542"/>
      <c r="DG20" s="542"/>
      <c r="DH20" s="542"/>
      <c r="DI20" s="542"/>
      <c r="DJ20" s="542"/>
      <c r="DK20" s="542"/>
      <c r="DL20" s="542"/>
      <c r="DM20" s="542"/>
      <c r="DN20" s="542"/>
      <c r="DO20" s="542"/>
      <c r="DP20" s="542"/>
      <c r="DQ20" s="542"/>
      <c r="DR20" s="542"/>
      <c r="DS20" s="542"/>
      <c r="DT20" s="542"/>
      <c r="DU20" s="542"/>
      <c r="DV20" s="542"/>
      <c r="DW20" s="542"/>
      <c r="DX20" s="542"/>
      <c r="DY20" s="542"/>
      <c r="DZ20" s="542"/>
      <c r="EA20" s="542"/>
      <c r="EB20" s="542"/>
      <c r="EC20" s="542"/>
      <c r="ED20" s="542"/>
      <c r="EE20" s="542"/>
      <c r="EF20" s="542"/>
      <c r="EG20" s="542"/>
      <c r="EH20" s="542"/>
      <c r="EI20" s="542"/>
      <c r="EJ20" s="542"/>
      <c r="EK20" s="542"/>
      <c r="EL20" s="542"/>
      <c r="EM20" s="542"/>
      <c r="EN20" s="542"/>
      <c r="EO20" s="542"/>
      <c r="EP20" s="542"/>
      <c r="EQ20" s="542"/>
      <c r="ER20" s="542"/>
      <c r="ES20" s="542"/>
      <c r="ET20" s="542"/>
      <c r="EU20" s="542"/>
      <c r="EV20" s="542"/>
      <c r="EW20" s="542"/>
      <c r="EX20" s="542"/>
      <c r="EY20" s="542"/>
      <c r="EZ20" s="542"/>
      <c r="FA20" s="542"/>
      <c r="FB20" s="542"/>
      <c r="FC20" s="542"/>
      <c r="FD20" s="542"/>
      <c r="FE20" s="542"/>
      <c r="FF20" s="542"/>
      <c r="FG20" s="542"/>
      <c r="FH20" s="542"/>
      <c r="FI20" s="542"/>
      <c r="FJ20" s="542"/>
      <c r="FK20" s="542"/>
      <c r="FL20" s="542"/>
      <c r="FM20" s="542"/>
      <c r="FN20" s="542"/>
      <c r="FO20" s="542"/>
      <c r="FP20" s="542"/>
      <c r="FQ20" s="542"/>
      <c r="FR20" s="542"/>
      <c r="FS20" s="542"/>
      <c r="FT20" s="542"/>
      <c r="FU20" s="542"/>
    </row>
    <row r="21" spans="1:177" ht="13.2">
      <c r="G21" s="566"/>
      <c r="H21" s="566"/>
      <c r="I21" s="566"/>
      <c r="J21" s="566"/>
      <c r="K21" s="542"/>
      <c r="L21" s="542"/>
      <c r="M21" s="542"/>
      <c r="N21" s="542"/>
      <c r="O21" s="542"/>
      <c r="P21" s="542"/>
      <c r="Q21" s="542"/>
      <c r="R21" s="542"/>
      <c r="S21" s="542"/>
      <c r="T21" s="542"/>
      <c r="U21" s="542"/>
      <c r="V21" s="542"/>
      <c r="W21" s="542"/>
      <c r="X21" s="542"/>
      <c r="Y21" s="542"/>
      <c r="Z21" s="542"/>
      <c r="AA21" s="542"/>
      <c r="AB21" s="542"/>
      <c r="AC21" s="542"/>
      <c r="AD21" s="542"/>
      <c r="AE21" s="542"/>
      <c r="AF21" s="542"/>
      <c r="AG21" s="542"/>
      <c r="AH21" s="542"/>
      <c r="AI21" s="542"/>
      <c r="AJ21" s="542"/>
      <c r="AK21" s="542"/>
      <c r="AL21" s="542"/>
      <c r="AM21" s="542"/>
      <c r="AN21" s="542"/>
      <c r="AO21" s="542"/>
      <c r="AP21" s="542"/>
      <c r="AQ21" s="542"/>
      <c r="AR21" s="542"/>
      <c r="AS21" s="542"/>
      <c r="AT21" s="542"/>
      <c r="AU21" s="542"/>
      <c r="AV21" s="542"/>
      <c r="AW21" s="542"/>
      <c r="AX21" s="542"/>
      <c r="AY21" s="542"/>
      <c r="AZ21" s="542"/>
      <c r="BA21" s="542"/>
      <c r="BB21" s="542"/>
      <c r="BC21" s="542"/>
      <c r="BD21" s="542"/>
      <c r="BE21" s="542"/>
      <c r="BF21" s="542"/>
      <c r="BG21" s="542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V21" s="542"/>
      <c r="CW21" s="542"/>
      <c r="CX21" s="542"/>
      <c r="CY21" s="542"/>
      <c r="CZ21" s="542"/>
      <c r="DA21" s="542"/>
      <c r="DB21" s="542"/>
      <c r="DC21" s="542"/>
      <c r="DD21" s="542"/>
      <c r="DE21" s="542"/>
      <c r="DF21" s="542"/>
      <c r="DG21" s="542"/>
      <c r="DH21" s="542"/>
      <c r="DI21" s="542"/>
      <c r="DJ21" s="542"/>
      <c r="DK21" s="542"/>
      <c r="DL21" s="542"/>
      <c r="DM21" s="542"/>
      <c r="DN21" s="542"/>
      <c r="DO21" s="542"/>
      <c r="DP21" s="542"/>
      <c r="DQ21" s="542"/>
      <c r="DR21" s="542"/>
      <c r="DS21" s="542"/>
      <c r="DT21" s="542"/>
      <c r="DU21" s="542"/>
      <c r="DV21" s="542"/>
      <c r="DW21" s="542"/>
      <c r="DX21" s="542"/>
      <c r="DY21" s="542"/>
      <c r="DZ21" s="542"/>
      <c r="EA21" s="542"/>
      <c r="EB21" s="542"/>
      <c r="EC21" s="542"/>
      <c r="ED21" s="542"/>
      <c r="EE21" s="542"/>
      <c r="EF21" s="542"/>
      <c r="EG21" s="542"/>
    </row>
    <row r="22" spans="1:177" ht="13.2">
      <c r="G22" s="566"/>
      <c r="H22" s="566"/>
      <c r="I22" s="566"/>
      <c r="J22" s="566"/>
      <c r="K22" s="542">
        <f>143/771</f>
        <v>0.18547341115434501</v>
      </c>
      <c r="L22" s="542"/>
      <c r="M22" s="542"/>
      <c r="N22" s="542"/>
      <c r="O22" s="542"/>
      <c r="P22" s="542"/>
      <c r="Q22" s="542"/>
      <c r="R22" s="542"/>
      <c r="S22" s="542"/>
      <c r="T22" s="542"/>
      <c r="U22" s="542"/>
      <c r="V22" s="542"/>
      <c r="W22" s="542"/>
      <c r="X22" s="542"/>
      <c r="Y22" s="542"/>
      <c r="Z22" s="542"/>
      <c r="AA22" s="542"/>
      <c r="AB22" s="542"/>
      <c r="AC22" s="542"/>
      <c r="AD22" s="542"/>
      <c r="AE22" s="542"/>
      <c r="AF22" s="542"/>
      <c r="AG22" s="542"/>
      <c r="AH22" s="542"/>
      <c r="AI22" s="542"/>
      <c r="AJ22" s="542"/>
      <c r="AK22" s="542"/>
      <c r="AL22" s="542"/>
      <c r="AM22" s="542"/>
      <c r="AN22" s="542"/>
      <c r="AO22" s="542"/>
      <c r="AP22" s="542"/>
      <c r="AQ22" s="542"/>
      <c r="AR22" s="542"/>
      <c r="AS22" s="542"/>
      <c r="AT22" s="542"/>
      <c r="AU22" s="542"/>
      <c r="AV22" s="542"/>
      <c r="AW22" s="542"/>
      <c r="AX22" s="542"/>
      <c r="AY22" s="542"/>
      <c r="AZ22" s="542"/>
      <c r="BA22" s="542"/>
      <c r="BB22" s="542"/>
      <c r="BC22" s="542"/>
      <c r="BD22" s="542"/>
      <c r="BE22" s="542"/>
      <c r="BF22" s="542"/>
      <c r="BG22" s="542"/>
      <c r="BH22" s="542"/>
      <c r="BI22" s="542"/>
      <c r="BJ22" s="542"/>
      <c r="BK22" s="542"/>
      <c r="BL22" s="542"/>
      <c r="BM22" s="542"/>
      <c r="BN22" s="542"/>
      <c r="BO22" s="542"/>
      <c r="BP22" s="542"/>
      <c r="BQ22" s="542"/>
      <c r="BR22" s="542"/>
      <c r="BS22" s="542"/>
      <c r="BT22" s="542"/>
      <c r="BU22" s="542"/>
      <c r="BV22" s="542"/>
      <c r="BW22" s="542"/>
      <c r="BX22" s="542"/>
      <c r="BY22" s="542"/>
      <c r="BZ22" s="542"/>
      <c r="CA22" s="542"/>
      <c r="CB22" s="542"/>
      <c r="CC22" s="542"/>
      <c r="CD22" s="542"/>
      <c r="CE22" s="542"/>
      <c r="CF22" s="542"/>
      <c r="CG22" s="542"/>
      <c r="CH22" s="542"/>
      <c r="CI22" s="542"/>
      <c r="CJ22" s="542"/>
      <c r="CK22" s="542"/>
      <c r="CL22" s="542"/>
      <c r="CM22" s="542"/>
      <c r="CN22" s="542"/>
      <c r="CO22" s="542"/>
      <c r="CP22" s="542"/>
      <c r="CQ22" s="542"/>
      <c r="CR22" s="542"/>
      <c r="CS22" s="542"/>
      <c r="CT22" s="542"/>
      <c r="CU22" s="542"/>
      <c r="CV22" s="542"/>
      <c r="CW22" s="542"/>
      <c r="CX22" s="542"/>
      <c r="CY22" s="542"/>
      <c r="CZ22" s="542"/>
      <c r="DA22" s="542"/>
      <c r="DB22" s="542"/>
      <c r="DC22" s="542"/>
      <c r="DD22" s="542"/>
      <c r="DE22" s="542"/>
      <c r="DF22" s="542"/>
      <c r="DG22" s="542"/>
      <c r="DH22" s="542"/>
      <c r="DI22" s="542"/>
      <c r="DJ22" s="542"/>
      <c r="DK22" s="542"/>
      <c r="DL22" s="542"/>
      <c r="DM22" s="542"/>
      <c r="DN22" s="542"/>
      <c r="DO22" s="542"/>
      <c r="DP22" s="542"/>
      <c r="DQ22" s="542"/>
      <c r="DR22" s="542"/>
      <c r="DS22" s="542"/>
      <c r="DT22" s="542"/>
      <c r="DU22" s="542"/>
      <c r="DV22" s="542"/>
      <c r="DW22" s="542"/>
      <c r="DX22" s="542"/>
      <c r="DY22" s="542"/>
      <c r="DZ22" s="542"/>
      <c r="EA22" s="542"/>
      <c r="EB22" s="542"/>
      <c r="EC22" s="542"/>
      <c r="ED22" s="542"/>
      <c r="EE22" s="542"/>
      <c r="EF22" s="542"/>
      <c r="EG22" s="542"/>
    </row>
    <row r="23" spans="1:177" ht="13.2">
      <c r="G23" s="566"/>
      <c r="H23" s="566"/>
      <c r="I23" s="566"/>
      <c r="J23" s="566"/>
      <c r="K23" s="542"/>
      <c r="L23" s="542"/>
      <c r="M23" s="542"/>
      <c r="N23" s="542"/>
      <c r="O23" s="542"/>
      <c r="P23" s="542"/>
      <c r="Q23" s="542"/>
      <c r="R23" s="542"/>
      <c r="S23" s="542"/>
      <c r="T23" s="542"/>
      <c r="U23" s="542"/>
      <c r="V23" s="542"/>
      <c r="W23" s="542"/>
      <c r="X23" s="542"/>
      <c r="Y23" s="542"/>
      <c r="Z23" s="542"/>
      <c r="AA23" s="542"/>
      <c r="AB23" s="542"/>
      <c r="AC23" s="542"/>
      <c r="AD23" s="542"/>
      <c r="AE23" s="542"/>
      <c r="AF23" s="542"/>
      <c r="AG23" s="542"/>
      <c r="AH23" s="542"/>
      <c r="AI23" s="542"/>
      <c r="AJ23" s="542"/>
      <c r="AK23" s="542"/>
      <c r="AL23" s="542"/>
      <c r="AM23" s="542"/>
      <c r="AN23" s="542"/>
      <c r="AO23" s="542"/>
      <c r="AP23" s="542"/>
      <c r="AQ23" s="542"/>
      <c r="AR23" s="542"/>
      <c r="AS23" s="542"/>
      <c r="AT23" s="542"/>
      <c r="AU23" s="542"/>
      <c r="AV23" s="542"/>
      <c r="AW23" s="542"/>
      <c r="AX23" s="542"/>
      <c r="AY23" s="542"/>
      <c r="AZ23" s="542"/>
      <c r="BA23" s="542"/>
      <c r="BB23" s="542"/>
      <c r="BC23" s="542"/>
      <c r="BD23" s="542"/>
      <c r="BE23" s="542"/>
      <c r="BF23" s="542"/>
      <c r="BG23" s="542"/>
      <c r="BH23" s="542"/>
      <c r="BI23" s="542"/>
      <c r="BJ23" s="542"/>
      <c r="BK23" s="542"/>
      <c r="BL23" s="542"/>
      <c r="BM23" s="542"/>
      <c r="BN23" s="542"/>
      <c r="BO23" s="542"/>
      <c r="BP23" s="542"/>
      <c r="BQ23" s="542"/>
      <c r="BR23" s="542"/>
      <c r="BS23" s="542"/>
      <c r="BT23" s="542"/>
      <c r="BU23" s="542"/>
      <c r="BV23" s="542"/>
      <c r="BW23" s="542"/>
      <c r="BX23" s="542"/>
      <c r="BY23" s="542"/>
      <c r="BZ23" s="542"/>
      <c r="CA23" s="542"/>
      <c r="CB23" s="542"/>
      <c r="CC23" s="542"/>
      <c r="CD23" s="542"/>
      <c r="CE23" s="542"/>
      <c r="CF23" s="542"/>
      <c r="CG23" s="542"/>
      <c r="CH23" s="542"/>
      <c r="CI23" s="542"/>
      <c r="CJ23" s="542"/>
      <c r="CK23" s="542"/>
      <c r="CL23" s="542"/>
      <c r="CM23" s="542"/>
      <c r="CN23" s="542"/>
      <c r="CO23" s="542"/>
      <c r="CP23" s="542"/>
      <c r="CQ23" s="542"/>
      <c r="CR23" s="542"/>
      <c r="CS23" s="542"/>
      <c r="CT23" s="542"/>
      <c r="CU23" s="542"/>
      <c r="CV23" s="542"/>
      <c r="CW23" s="542"/>
      <c r="CX23" s="542"/>
      <c r="CY23" s="542"/>
      <c r="CZ23" s="542"/>
      <c r="DA23" s="542"/>
      <c r="DB23" s="542"/>
      <c r="DC23" s="542"/>
      <c r="DD23" s="542"/>
      <c r="DE23" s="542"/>
      <c r="DF23" s="542"/>
      <c r="DG23" s="542"/>
      <c r="DH23" s="542"/>
      <c r="DI23" s="542"/>
      <c r="DJ23" s="542"/>
      <c r="DK23" s="542"/>
      <c r="DL23" s="542"/>
      <c r="DM23" s="542"/>
      <c r="DN23" s="542"/>
      <c r="DO23" s="542"/>
      <c r="DP23" s="542"/>
      <c r="DQ23" s="542"/>
      <c r="DR23" s="542"/>
      <c r="DS23" s="542"/>
      <c r="DT23" s="542"/>
      <c r="DU23" s="542"/>
      <c r="DV23" s="542"/>
      <c r="DW23" s="542"/>
      <c r="DX23" s="542"/>
      <c r="DY23" s="542"/>
      <c r="DZ23" s="542"/>
      <c r="EA23" s="542"/>
      <c r="EB23" s="542"/>
      <c r="EC23" s="542"/>
      <c r="ED23" s="542"/>
      <c r="EE23" s="542"/>
      <c r="EF23" s="542"/>
      <c r="EG23" s="542"/>
    </row>
    <row r="24" spans="1:177" ht="13.2">
      <c r="G24" s="566"/>
      <c r="H24" s="566"/>
      <c r="I24" s="566"/>
      <c r="J24" s="566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42"/>
      <c r="AB24" s="542"/>
      <c r="AC24" s="542"/>
      <c r="AD24" s="542"/>
      <c r="AE24" s="542"/>
      <c r="AF24" s="542"/>
      <c r="AG24" s="542"/>
      <c r="AH24" s="542"/>
      <c r="AI24" s="542"/>
      <c r="AJ24" s="542"/>
      <c r="AK24" s="542"/>
      <c r="AL24" s="542"/>
      <c r="AM24" s="542"/>
      <c r="AN24" s="542"/>
      <c r="AO24" s="542"/>
      <c r="AP24" s="542"/>
      <c r="AQ24" s="542"/>
      <c r="AR24" s="542"/>
      <c r="AS24" s="542"/>
      <c r="AT24" s="542"/>
      <c r="AU24" s="542"/>
      <c r="AV24" s="542"/>
      <c r="AW24" s="542"/>
      <c r="AX24" s="542"/>
      <c r="AY24" s="542"/>
      <c r="AZ24" s="542"/>
      <c r="BA24" s="542"/>
      <c r="BB24" s="542"/>
      <c r="BC24" s="542"/>
      <c r="BD24" s="542"/>
      <c r="BE24" s="542"/>
      <c r="BF24" s="542"/>
      <c r="BG24" s="542"/>
      <c r="BH24" s="542"/>
      <c r="BI24" s="542"/>
      <c r="BJ24" s="542"/>
      <c r="BK24" s="542"/>
      <c r="BL24" s="542"/>
      <c r="BM24" s="542"/>
      <c r="BN24" s="542"/>
      <c r="BO24" s="542"/>
      <c r="BP24" s="542"/>
      <c r="BQ24" s="542"/>
      <c r="BR24" s="542"/>
      <c r="BS24" s="542"/>
      <c r="BT24" s="542"/>
      <c r="BU24" s="542"/>
      <c r="BV24" s="542"/>
      <c r="BW24" s="542"/>
      <c r="BX24" s="542"/>
      <c r="BY24" s="542"/>
      <c r="BZ24" s="542"/>
      <c r="CA24" s="542"/>
      <c r="CB24" s="542"/>
      <c r="CC24" s="542"/>
      <c r="CD24" s="542"/>
      <c r="CE24" s="542"/>
      <c r="CF24" s="542"/>
      <c r="CG24" s="542"/>
      <c r="CH24" s="542"/>
      <c r="CI24" s="542"/>
      <c r="CJ24" s="542"/>
      <c r="CK24" s="542"/>
      <c r="CL24" s="542"/>
      <c r="CM24" s="542"/>
      <c r="CN24" s="542"/>
      <c r="CO24" s="542"/>
      <c r="CP24" s="542"/>
      <c r="CQ24" s="542"/>
      <c r="CR24" s="542"/>
      <c r="CS24" s="542"/>
      <c r="CT24" s="542"/>
      <c r="CU24" s="542"/>
      <c r="CV24" s="542"/>
      <c r="CW24" s="542"/>
      <c r="CX24" s="542"/>
      <c r="CY24" s="542"/>
      <c r="CZ24" s="542"/>
      <c r="DA24" s="542"/>
      <c r="DB24" s="542"/>
      <c r="DC24" s="542"/>
      <c r="DD24" s="542"/>
      <c r="DE24" s="542"/>
      <c r="DF24" s="542"/>
      <c r="DG24" s="542"/>
      <c r="DH24" s="542"/>
      <c r="DI24" s="542"/>
      <c r="DJ24" s="542"/>
      <c r="DK24" s="542"/>
      <c r="DL24" s="542"/>
      <c r="DM24" s="542"/>
      <c r="DN24" s="542"/>
      <c r="DO24" s="542"/>
      <c r="DP24" s="542"/>
      <c r="DQ24" s="542"/>
      <c r="DR24" s="542"/>
      <c r="DS24" s="542"/>
      <c r="DT24" s="542"/>
      <c r="DU24" s="542"/>
      <c r="DV24" s="542"/>
      <c r="DW24" s="542"/>
      <c r="DX24" s="542"/>
      <c r="DY24" s="542"/>
      <c r="DZ24" s="542"/>
      <c r="EA24" s="542"/>
      <c r="EB24" s="542"/>
      <c r="EC24" s="542"/>
      <c r="ED24" s="542"/>
      <c r="EE24" s="542"/>
      <c r="EF24" s="542"/>
      <c r="EG24" s="542"/>
    </row>
    <row r="25" spans="1:177" ht="13.2">
      <c r="G25" s="566"/>
      <c r="H25" s="566"/>
      <c r="I25" s="566"/>
      <c r="J25" s="566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42"/>
      <c r="AB25" s="542"/>
      <c r="AC25" s="542"/>
      <c r="AD25" s="542"/>
      <c r="AE25" s="542"/>
      <c r="AF25" s="542"/>
      <c r="AG25" s="542"/>
      <c r="AH25" s="542"/>
      <c r="AI25" s="542"/>
      <c r="AJ25" s="542"/>
      <c r="AK25" s="542"/>
      <c r="AL25" s="542"/>
      <c r="AM25" s="542"/>
      <c r="AN25" s="542"/>
      <c r="AO25" s="542"/>
      <c r="AP25" s="542"/>
      <c r="AQ25" s="542"/>
      <c r="AR25" s="542"/>
      <c r="AS25" s="542"/>
      <c r="AT25" s="542"/>
      <c r="AU25" s="542"/>
      <c r="AV25" s="542"/>
      <c r="AW25" s="542"/>
      <c r="AX25" s="542"/>
      <c r="AY25" s="542"/>
      <c r="AZ25" s="542"/>
      <c r="BA25" s="542"/>
      <c r="BB25" s="542"/>
      <c r="BC25" s="542"/>
      <c r="BD25" s="542"/>
      <c r="BE25" s="542"/>
      <c r="BF25" s="542"/>
      <c r="BG25" s="542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V25" s="542"/>
      <c r="CW25" s="542"/>
      <c r="CX25" s="542"/>
      <c r="CY25" s="542"/>
      <c r="CZ25" s="542"/>
      <c r="DA25" s="542"/>
      <c r="DB25" s="542"/>
      <c r="DC25" s="542"/>
      <c r="DD25" s="542"/>
      <c r="DE25" s="542"/>
      <c r="DF25" s="542"/>
      <c r="DG25" s="542"/>
      <c r="DH25" s="542"/>
      <c r="DI25" s="542"/>
      <c r="DJ25" s="542"/>
      <c r="DK25" s="542"/>
      <c r="DL25" s="542"/>
      <c r="DM25" s="542"/>
      <c r="DN25" s="542"/>
      <c r="DO25" s="542"/>
      <c r="DP25" s="542"/>
      <c r="DQ25" s="542"/>
      <c r="DR25" s="542"/>
      <c r="DS25" s="542"/>
      <c r="DT25" s="542"/>
      <c r="DU25" s="542"/>
      <c r="DV25" s="542"/>
      <c r="DW25" s="542"/>
      <c r="DX25" s="542"/>
      <c r="DY25" s="542"/>
      <c r="DZ25" s="542"/>
      <c r="EA25" s="542"/>
      <c r="EB25" s="542"/>
      <c r="EC25" s="542"/>
      <c r="ED25" s="542"/>
      <c r="EE25" s="542"/>
      <c r="EF25" s="542"/>
      <c r="EG25" s="542"/>
    </row>
    <row r="26" spans="1:177" ht="13.2">
      <c r="G26" s="566"/>
      <c r="H26" s="566"/>
      <c r="I26" s="566"/>
      <c r="J26" s="566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42"/>
      <c r="AB26" s="542"/>
      <c r="AC26" s="542"/>
      <c r="AD26" s="542"/>
      <c r="AE26" s="542"/>
      <c r="AF26" s="542"/>
      <c r="AG26" s="542"/>
      <c r="AH26" s="542"/>
      <c r="AI26" s="542"/>
      <c r="AJ26" s="542"/>
      <c r="AK26" s="542"/>
      <c r="AL26" s="542"/>
      <c r="AM26" s="542"/>
      <c r="AN26" s="542"/>
      <c r="AO26" s="542"/>
      <c r="AP26" s="542"/>
      <c r="AQ26" s="542"/>
      <c r="AR26" s="542"/>
      <c r="AS26" s="542"/>
      <c r="AT26" s="542"/>
      <c r="AU26" s="542"/>
      <c r="AV26" s="542"/>
      <c r="AW26" s="542"/>
      <c r="AX26" s="542"/>
      <c r="AY26" s="542"/>
      <c r="AZ26" s="542"/>
      <c r="BA26" s="542"/>
      <c r="BB26" s="542"/>
      <c r="BC26" s="542"/>
      <c r="BD26" s="542"/>
      <c r="BE26" s="542"/>
      <c r="BF26" s="542"/>
      <c r="BG26" s="542"/>
      <c r="BH26" s="542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V26" s="542"/>
      <c r="CW26" s="542"/>
      <c r="CX26" s="542"/>
      <c r="CY26" s="542"/>
      <c r="CZ26" s="542"/>
      <c r="DA26" s="542"/>
      <c r="DB26" s="542"/>
      <c r="DC26" s="542"/>
      <c r="DD26" s="542"/>
      <c r="DE26" s="542"/>
      <c r="DF26" s="542"/>
      <c r="DG26" s="542"/>
      <c r="DH26" s="542"/>
      <c r="DI26" s="542"/>
      <c r="DJ26" s="542"/>
      <c r="DK26" s="542"/>
      <c r="DL26" s="542"/>
      <c r="DM26" s="542"/>
      <c r="DN26" s="542"/>
      <c r="DO26" s="542"/>
      <c r="DP26" s="542"/>
      <c r="DQ26" s="542"/>
      <c r="DR26" s="542"/>
      <c r="DS26" s="542"/>
      <c r="DT26" s="542"/>
      <c r="DU26" s="542"/>
      <c r="DV26" s="542"/>
      <c r="DW26" s="542"/>
      <c r="DX26" s="542"/>
      <c r="DY26" s="542"/>
      <c r="DZ26" s="542"/>
      <c r="EA26" s="542"/>
      <c r="EB26" s="542"/>
      <c r="EC26" s="542"/>
      <c r="ED26" s="542"/>
      <c r="EE26" s="542"/>
      <c r="EF26" s="542"/>
      <c r="EG26" s="542"/>
    </row>
    <row r="27" spans="1:177" ht="13.2">
      <c r="G27" s="566"/>
      <c r="H27" s="566"/>
      <c r="I27" s="566"/>
      <c r="J27" s="566"/>
      <c r="K27" s="542"/>
    </row>
    <row r="28" spans="1:177" ht="13.2">
      <c r="G28" s="566"/>
      <c r="H28" s="566"/>
      <c r="I28" s="566"/>
      <c r="J28" s="566"/>
      <c r="K28" s="542"/>
    </row>
    <row r="29" spans="1:177" ht="13.2">
      <c r="A29" s="783"/>
      <c r="E29" s="783"/>
      <c r="F29" s="783"/>
      <c r="G29" s="566"/>
      <c r="H29" s="566"/>
      <c r="I29" s="566"/>
      <c r="J29" s="566"/>
      <c r="K29" s="542"/>
    </row>
    <row r="30" spans="1:177" ht="13.2">
      <c r="G30" s="566"/>
      <c r="H30" s="566"/>
      <c r="I30" s="566"/>
      <c r="J30" s="566"/>
      <c r="K30" s="542"/>
    </row>
    <row r="31" spans="1:177" ht="13.2">
      <c r="G31" s="566"/>
      <c r="H31" s="566"/>
      <c r="I31" s="566"/>
      <c r="J31" s="566"/>
      <c r="K31" s="542"/>
    </row>
    <row r="32" spans="1:177" ht="13.2">
      <c r="G32" s="566"/>
      <c r="H32" s="566"/>
      <c r="I32" s="566"/>
      <c r="J32" s="566"/>
      <c r="K32" s="542"/>
    </row>
    <row r="33" spans="7:11" ht="13.2">
      <c r="G33" s="566"/>
      <c r="H33" s="566"/>
      <c r="I33" s="566"/>
      <c r="J33" s="566"/>
      <c r="K33" s="542"/>
    </row>
    <row r="34" spans="7:11" ht="13.2">
      <c r="G34" s="566"/>
      <c r="H34" s="566"/>
      <c r="I34" s="566"/>
      <c r="J34" s="566"/>
      <c r="K34" s="542"/>
    </row>
    <row r="35" spans="7:11" ht="13.2">
      <c r="G35" s="569"/>
      <c r="H35" s="566"/>
      <c r="I35" s="566"/>
      <c r="J35" s="566"/>
      <c r="K35" s="542"/>
    </row>
    <row r="36" spans="7:11" ht="13.2">
      <c r="G36" s="569"/>
      <c r="H36" s="566"/>
      <c r="I36" s="566"/>
      <c r="J36" s="566"/>
      <c r="K36" s="542"/>
    </row>
    <row r="37" spans="7:11" ht="13.2">
      <c r="G37" s="569"/>
      <c r="H37" s="566"/>
      <c r="I37" s="566"/>
      <c r="J37" s="566"/>
      <c r="K37" s="542"/>
    </row>
    <row r="38" spans="7:11" ht="13.2">
      <c r="G38" s="569"/>
      <c r="H38" s="566"/>
      <c r="I38" s="566"/>
      <c r="J38" s="566"/>
      <c r="K38" s="542"/>
    </row>
    <row r="39" spans="7:11" ht="13.2">
      <c r="G39" s="569"/>
      <c r="H39" s="566"/>
      <c r="I39" s="566"/>
      <c r="J39" s="566"/>
      <c r="K39" s="542"/>
    </row>
    <row r="40" spans="7:11" ht="13.2">
      <c r="G40" s="569"/>
      <c r="H40" s="566"/>
      <c r="I40" s="566"/>
      <c r="J40" s="566"/>
      <c r="K40" s="542"/>
    </row>
    <row r="41" spans="7:11" ht="13.2">
      <c r="G41" s="569"/>
      <c r="H41" s="566"/>
      <c r="I41" s="566"/>
      <c r="J41" s="566"/>
      <c r="K41" s="542"/>
    </row>
    <row r="42" spans="7:11" ht="13.2">
      <c r="G42" s="569"/>
      <c r="H42" s="566"/>
      <c r="I42" s="566"/>
      <c r="J42" s="566"/>
      <c r="K42" s="542"/>
    </row>
    <row r="43" spans="7:11" ht="13.2">
      <c r="G43" s="569"/>
      <c r="H43" s="566"/>
      <c r="I43" s="566"/>
      <c r="J43" s="566"/>
      <c r="K43" s="542"/>
    </row>
    <row r="44" spans="7:11" ht="13.2">
      <c r="G44" s="569"/>
      <c r="H44" s="566"/>
      <c r="I44" s="566"/>
      <c r="J44" s="566"/>
      <c r="K44" s="542"/>
    </row>
    <row r="45" spans="7:11" ht="13.2">
      <c r="G45" s="569"/>
      <c r="H45" s="566"/>
      <c r="I45" s="566"/>
      <c r="J45" s="566"/>
      <c r="K45" s="542"/>
    </row>
    <row r="46" spans="7:11" ht="13.2">
      <c r="H46" s="566"/>
      <c r="I46" s="566"/>
      <c r="J46" s="566"/>
    </row>
    <row r="47" spans="7:11" ht="13.2">
      <c r="H47" s="566"/>
      <c r="I47" s="566"/>
      <c r="J47" s="566"/>
    </row>
    <row r="48" spans="7:11" ht="13.2">
      <c r="H48" s="566"/>
      <c r="I48" s="566"/>
      <c r="J48" s="566"/>
    </row>
    <row r="49" spans="8:10" ht="13.2">
      <c r="H49" s="566"/>
      <c r="I49" s="566"/>
      <c r="J49" s="566"/>
    </row>
    <row r="50" spans="8:10" ht="13.2">
      <c r="H50" s="566"/>
      <c r="I50" s="566"/>
      <c r="J50" s="566"/>
    </row>
    <row r="51" spans="8:10" ht="13.2">
      <c r="H51" s="566"/>
      <c r="I51" s="566"/>
      <c r="J51" s="566"/>
    </row>
    <row r="52" spans="8:10" ht="13.2">
      <c r="H52" s="566"/>
      <c r="I52" s="566"/>
      <c r="J52" s="566"/>
    </row>
    <row r="53" spans="8:10" ht="13.2">
      <c r="H53" s="566"/>
      <c r="I53" s="566"/>
      <c r="J53" s="566"/>
    </row>
    <row r="54" spans="8:10" ht="13.2">
      <c r="H54" s="569"/>
      <c r="I54" s="569"/>
      <c r="J54" s="542"/>
    </row>
    <row r="55" spans="8:10" ht="13.2">
      <c r="H55" s="569"/>
      <c r="I55" s="569"/>
      <c r="J55" s="542"/>
    </row>
    <row r="56" spans="8:10" ht="13.2">
      <c r="H56" s="569"/>
      <c r="I56" s="569"/>
      <c r="J56" s="542"/>
    </row>
    <row r="57" spans="8:10" ht="13.2">
      <c r="H57" s="569"/>
      <c r="I57" s="569"/>
      <c r="J57" s="542"/>
    </row>
    <row r="58" spans="8:10" ht="13.2">
      <c r="H58" s="569"/>
      <c r="I58" s="569"/>
      <c r="J58" s="542"/>
    </row>
    <row r="59" spans="8:10" ht="13.2">
      <c r="H59" s="569"/>
      <c r="I59" s="569"/>
      <c r="J59" s="542"/>
    </row>
    <row r="60" spans="8:10" ht="13.2">
      <c r="H60" s="569"/>
      <c r="I60" s="569"/>
      <c r="J60" s="542"/>
    </row>
    <row r="61" spans="8:10" ht="13.2">
      <c r="H61" s="569"/>
      <c r="I61" s="569"/>
      <c r="J61" s="542"/>
    </row>
    <row r="62" spans="8:10" ht="13.2">
      <c r="H62" s="569"/>
      <c r="I62" s="569"/>
      <c r="J62" s="542"/>
    </row>
    <row r="63" spans="8:10" ht="13.2">
      <c r="H63" s="569"/>
      <c r="I63" s="569"/>
      <c r="J63" s="542"/>
    </row>
    <row r="64" spans="8:10" ht="13.2">
      <c r="H64" s="569"/>
      <c r="I64" s="569"/>
      <c r="J64" s="542"/>
    </row>
  </sheetData>
  <mergeCells count="1">
    <mergeCell ref="A2:F2"/>
  </mergeCells>
  <printOptions horizontalCentered="1"/>
  <pageMargins left="0.39370078740157483" right="0.39370078740157483" top="0.78740157480314965" bottom="0.39370078740157483" header="0.31496062992125984" footer="0.31496062992125984"/>
  <pageSetup paperSize="9" orientation="landscape" r:id="rId1"/>
  <headerFooter alignWithMargins="0">
    <oddHeader>&amp;LDGRH A1-1</oddHeader>
    <oddFooter>&amp;CPage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Feuil26">
    <tabColor rgb="FFFFFF00"/>
  </sheetPr>
  <dimension ref="A1:AX57"/>
  <sheetViews>
    <sheetView showZeros="0" workbookViewId="0">
      <pane xSplit="1" ySplit="8" topLeftCell="B12" activePane="bottomRight" state="frozen"/>
      <selection activeCell="L18" sqref="L18"/>
      <selection pane="topRight" activeCell="L18" sqref="L18"/>
      <selection pane="bottomLeft" activeCell="L18" sqref="L18"/>
      <selection pane="bottomRight" activeCell="L18" sqref="L18"/>
    </sheetView>
  </sheetViews>
  <sheetFormatPr baseColWidth="10" defaultColWidth="11.44140625" defaultRowHeight="11.4"/>
  <cols>
    <col min="1" max="1" width="5.109375" style="4" customWidth="1"/>
    <col min="2" max="2" width="21.109375" style="4" customWidth="1"/>
    <col min="3" max="28" width="3.5546875" style="4" customWidth="1"/>
    <col min="29" max="50" width="11.44140625" style="1573"/>
    <col min="51" max="16384" width="11.44140625" style="4"/>
  </cols>
  <sheetData>
    <row r="1" spans="1:50" ht="15" customHeight="1"/>
    <row r="2" spans="1:50" ht="24" customHeight="1">
      <c r="A2" s="509" t="str">
        <f>'fiche technique'!A5</f>
        <v>Bilan de la campagne 2014 de recrutement et d'affectation des professeurs des universités (session synchronisée - ANTEE)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  <c r="Q2" s="509"/>
      <c r="R2" s="509"/>
      <c r="S2" s="509"/>
      <c r="T2" s="509"/>
      <c r="U2" s="509"/>
      <c r="V2" s="509"/>
      <c r="W2" s="509"/>
      <c r="X2" s="509"/>
      <c r="Y2" s="509"/>
      <c r="Z2" s="509"/>
      <c r="AA2" s="510"/>
      <c r="AB2" s="510"/>
    </row>
    <row r="3" spans="1:50" ht="15" customHeight="1"/>
    <row r="4" spans="1:50" ht="18.75" customHeight="1">
      <c r="A4" s="20" t="s">
        <v>168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572"/>
      <c r="AB4" s="572"/>
    </row>
    <row r="5" spans="1:50" ht="18.75" customHeight="1">
      <c r="A5" s="20" t="s">
        <v>992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572"/>
      <c r="AB5" s="572"/>
    </row>
    <row r="6" spans="1:50" ht="18.75" customHeight="1">
      <c r="A6" s="370" t="s">
        <v>242</v>
      </c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572"/>
      <c r="AB6" s="572"/>
    </row>
    <row r="7" spans="1:50" ht="14.25" customHeight="1" thickBot="1"/>
    <row r="8" spans="1:50" s="410" customFormat="1" ht="105" customHeight="1" thickBot="1">
      <c r="B8" s="241" t="s">
        <v>262</v>
      </c>
      <c r="C8" s="181" t="s">
        <v>169</v>
      </c>
      <c r="D8" s="181" t="s">
        <v>170</v>
      </c>
      <c r="E8" s="181" t="s">
        <v>391</v>
      </c>
      <c r="F8" s="182" t="s">
        <v>171</v>
      </c>
      <c r="G8" s="182" t="s">
        <v>172</v>
      </c>
      <c r="H8" s="182" t="s">
        <v>174</v>
      </c>
      <c r="I8" s="182" t="s">
        <v>175</v>
      </c>
      <c r="J8" s="182" t="s">
        <v>176</v>
      </c>
      <c r="K8" s="182" t="s">
        <v>199</v>
      </c>
      <c r="L8" s="182" t="s">
        <v>177</v>
      </c>
      <c r="M8" s="182" t="s">
        <v>179</v>
      </c>
      <c r="N8" s="182" t="s">
        <v>180</v>
      </c>
      <c r="O8" s="182" t="s">
        <v>181</v>
      </c>
      <c r="P8" s="182" t="s">
        <v>182</v>
      </c>
      <c r="Q8" s="182" t="s">
        <v>183</v>
      </c>
      <c r="R8" s="182" t="s">
        <v>184</v>
      </c>
      <c r="S8" s="182" t="s">
        <v>185</v>
      </c>
      <c r="T8" s="182" t="s">
        <v>186</v>
      </c>
      <c r="U8" s="182" t="s">
        <v>187</v>
      </c>
      <c r="V8" s="182" t="s">
        <v>188</v>
      </c>
      <c r="W8" s="182" t="s">
        <v>189</v>
      </c>
      <c r="X8" s="182" t="s">
        <v>190</v>
      </c>
      <c r="Y8" s="182" t="s">
        <v>191</v>
      </c>
      <c r="Z8" s="182" t="s">
        <v>192</v>
      </c>
      <c r="AA8" s="187" t="s">
        <v>138</v>
      </c>
      <c r="AC8" s="1574"/>
      <c r="AD8" s="1574"/>
      <c r="AE8" s="1574"/>
      <c r="AF8" s="1574"/>
      <c r="AG8" s="1574"/>
      <c r="AH8" s="1574"/>
      <c r="AI8" s="1574"/>
      <c r="AJ8" s="1574"/>
      <c r="AK8" s="1574"/>
      <c r="AL8" s="1574"/>
      <c r="AM8" s="1574"/>
      <c r="AN8" s="1574"/>
      <c r="AO8" s="1574"/>
      <c r="AP8" s="1574"/>
      <c r="AQ8" s="1574"/>
      <c r="AR8" s="1574"/>
      <c r="AS8" s="1574"/>
      <c r="AT8" s="1574"/>
      <c r="AU8" s="1574"/>
      <c r="AV8" s="1574"/>
      <c r="AW8" s="1574"/>
      <c r="AX8" s="1574"/>
    </row>
    <row r="9" spans="1:50" ht="15" customHeight="1">
      <c r="A9" s="2074" t="s">
        <v>193</v>
      </c>
      <c r="B9" s="183" t="s">
        <v>169</v>
      </c>
      <c r="C9" s="573"/>
      <c r="D9" s="573"/>
      <c r="E9" s="573"/>
      <c r="F9" s="573"/>
      <c r="G9" s="573"/>
      <c r="H9" s="573"/>
      <c r="I9" s="573"/>
      <c r="J9" s="573"/>
      <c r="K9" s="573">
        <v>1</v>
      </c>
      <c r="L9" s="573">
        <v>1</v>
      </c>
      <c r="M9" s="573"/>
      <c r="N9" s="573">
        <v>1</v>
      </c>
      <c r="O9" s="573"/>
      <c r="P9" s="573"/>
      <c r="Q9" s="573">
        <v>2</v>
      </c>
      <c r="R9" s="573"/>
      <c r="S9" s="573">
        <v>1</v>
      </c>
      <c r="T9" s="573"/>
      <c r="U9" s="573"/>
      <c r="V9" s="573"/>
      <c r="W9" s="573"/>
      <c r="X9" s="573"/>
      <c r="Y9" s="573"/>
      <c r="Z9" s="573"/>
      <c r="AA9" s="1565">
        <f t="shared" ref="AA9:AA27" si="0">SUM(C9:Z9)</f>
        <v>6</v>
      </c>
    </row>
    <row r="10" spans="1:50" ht="15" customHeight="1">
      <c r="A10" s="2075"/>
      <c r="B10" s="184" t="s">
        <v>172</v>
      </c>
      <c r="C10" s="574"/>
      <c r="D10" s="574"/>
      <c r="E10" s="574">
        <v>1</v>
      </c>
      <c r="F10" s="574"/>
      <c r="G10" s="574"/>
      <c r="H10" s="574">
        <v>1</v>
      </c>
      <c r="I10" s="574"/>
      <c r="J10" s="574">
        <v>1</v>
      </c>
      <c r="K10" s="574"/>
      <c r="L10" s="574">
        <v>1</v>
      </c>
      <c r="M10" s="574"/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4"/>
      <c r="Y10" s="574"/>
      <c r="Z10" s="574"/>
      <c r="AA10" s="1564">
        <f t="shared" si="0"/>
        <v>4</v>
      </c>
    </row>
    <row r="11" spans="1:50" ht="15" customHeight="1">
      <c r="A11" s="2075"/>
      <c r="B11" s="1562" t="s">
        <v>174</v>
      </c>
      <c r="C11" s="1563"/>
      <c r="D11" s="1563"/>
      <c r="E11" s="1563"/>
      <c r="F11" s="1563"/>
      <c r="G11" s="1563"/>
      <c r="H11" s="1563"/>
      <c r="I11" s="1563">
        <v>1</v>
      </c>
      <c r="J11" s="1563"/>
      <c r="K11" s="1563"/>
      <c r="L11" s="1563"/>
      <c r="M11" s="1563"/>
      <c r="N11" s="1563"/>
      <c r="O11" s="1563">
        <v>1</v>
      </c>
      <c r="P11" s="1563">
        <v>2</v>
      </c>
      <c r="Q11" s="1563"/>
      <c r="R11" s="1563"/>
      <c r="S11" s="1563"/>
      <c r="T11" s="1563">
        <v>1</v>
      </c>
      <c r="U11" s="1563"/>
      <c r="V11" s="1563"/>
      <c r="W11" s="1563"/>
      <c r="X11" s="1563"/>
      <c r="Y11" s="1563"/>
      <c r="Z11" s="1563"/>
      <c r="AA11" s="1564">
        <f t="shared" si="0"/>
        <v>5</v>
      </c>
    </row>
    <row r="12" spans="1:50" ht="15" customHeight="1">
      <c r="A12" s="2075"/>
      <c r="B12" s="184" t="s">
        <v>175</v>
      </c>
      <c r="C12" s="574"/>
      <c r="D12" s="574"/>
      <c r="E12" s="574"/>
      <c r="F12" s="574">
        <v>1</v>
      </c>
      <c r="G12" s="574"/>
      <c r="H12" s="574"/>
      <c r="I12" s="574"/>
      <c r="J12" s="574"/>
      <c r="K12" s="574"/>
      <c r="L12" s="574"/>
      <c r="M12" s="574"/>
      <c r="N12" s="574"/>
      <c r="O12" s="574"/>
      <c r="P12" s="574">
        <v>1</v>
      </c>
      <c r="Q12" s="574"/>
      <c r="R12" s="574"/>
      <c r="S12" s="574"/>
      <c r="T12" s="574"/>
      <c r="U12" s="574"/>
      <c r="V12" s="574"/>
      <c r="W12" s="574"/>
      <c r="X12" s="574"/>
      <c r="Y12" s="574"/>
      <c r="Z12" s="574"/>
      <c r="AA12" s="1564">
        <f t="shared" si="0"/>
        <v>2</v>
      </c>
    </row>
    <row r="13" spans="1:50" ht="15" customHeight="1">
      <c r="A13" s="2075"/>
      <c r="B13" s="184" t="s">
        <v>176</v>
      </c>
      <c r="C13" s="574"/>
      <c r="D13" s="574"/>
      <c r="E13" s="574"/>
      <c r="F13" s="574"/>
      <c r="G13" s="574"/>
      <c r="H13" s="574"/>
      <c r="I13" s="574"/>
      <c r="J13" s="574">
        <v>1</v>
      </c>
      <c r="K13" s="574"/>
      <c r="L13" s="574"/>
      <c r="M13" s="574">
        <v>2</v>
      </c>
      <c r="N13" s="574"/>
      <c r="O13" s="574"/>
      <c r="P13" s="574"/>
      <c r="Q13" s="574"/>
      <c r="R13" s="574"/>
      <c r="S13" s="574"/>
      <c r="T13" s="574"/>
      <c r="U13" s="574"/>
      <c r="V13" s="574"/>
      <c r="W13" s="574"/>
      <c r="X13" s="574"/>
      <c r="Y13" s="574"/>
      <c r="Z13" s="574"/>
      <c r="AA13" s="1564">
        <f t="shared" si="0"/>
        <v>3</v>
      </c>
    </row>
    <row r="14" spans="1:50" ht="15" customHeight="1">
      <c r="A14" s="2075"/>
      <c r="B14" s="184" t="s">
        <v>177</v>
      </c>
      <c r="C14" s="574"/>
      <c r="D14" s="574"/>
      <c r="E14" s="574"/>
      <c r="F14" s="574"/>
      <c r="G14" s="574">
        <v>1</v>
      </c>
      <c r="H14" s="574"/>
      <c r="I14" s="574"/>
      <c r="J14" s="574"/>
      <c r="K14" s="574"/>
      <c r="L14" s="574"/>
      <c r="M14" s="574"/>
      <c r="N14" s="574"/>
      <c r="O14" s="574"/>
      <c r="P14" s="574"/>
      <c r="Q14" s="574"/>
      <c r="R14" s="574"/>
      <c r="S14" s="574"/>
      <c r="T14" s="574"/>
      <c r="U14" s="574"/>
      <c r="V14" s="574"/>
      <c r="W14" s="574"/>
      <c r="X14" s="574"/>
      <c r="Y14" s="574"/>
      <c r="Z14" s="574"/>
      <c r="AA14" s="1564">
        <f t="shared" si="0"/>
        <v>1</v>
      </c>
    </row>
    <row r="15" spans="1:50" ht="15" customHeight="1">
      <c r="A15" s="2075"/>
      <c r="B15" s="184" t="s">
        <v>179</v>
      </c>
      <c r="C15" s="574"/>
      <c r="D15" s="574"/>
      <c r="E15" s="574"/>
      <c r="F15" s="574"/>
      <c r="G15" s="574"/>
      <c r="H15" s="574"/>
      <c r="I15" s="574"/>
      <c r="J15" s="574">
        <v>1</v>
      </c>
      <c r="K15" s="574"/>
      <c r="L15" s="574"/>
      <c r="M15" s="574">
        <v>1</v>
      </c>
      <c r="N15" s="574"/>
      <c r="O15" s="574"/>
      <c r="P15" s="574"/>
      <c r="Q15" s="574"/>
      <c r="R15" s="574"/>
      <c r="S15" s="574"/>
      <c r="T15" s="574"/>
      <c r="U15" s="574"/>
      <c r="V15" s="574"/>
      <c r="W15" s="574"/>
      <c r="X15" s="574"/>
      <c r="Y15" s="574"/>
      <c r="Z15" s="574"/>
      <c r="AA15" s="1564">
        <f t="shared" si="0"/>
        <v>2</v>
      </c>
    </row>
    <row r="16" spans="1:50" ht="15" customHeight="1">
      <c r="A16" s="2075"/>
      <c r="B16" s="184" t="s">
        <v>180</v>
      </c>
      <c r="C16" s="574"/>
      <c r="D16" s="574">
        <v>1</v>
      </c>
      <c r="E16" s="574"/>
      <c r="F16" s="574"/>
      <c r="G16" s="574">
        <v>1</v>
      </c>
      <c r="H16" s="574"/>
      <c r="I16" s="574"/>
      <c r="J16" s="574"/>
      <c r="K16" s="574"/>
      <c r="L16" s="574"/>
      <c r="M16" s="574"/>
      <c r="N16" s="574">
        <v>1</v>
      </c>
      <c r="O16" s="574"/>
      <c r="P16" s="574"/>
      <c r="Q16" s="574">
        <v>2</v>
      </c>
      <c r="R16" s="574"/>
      <c r="S16" s="574"/>
      <c r="T16" s="574"/>
      <c r="U16" s="574"/>
      <c r="V16" s="574"/>
      <c r="W16" s="574"/>
      <c r="X16" s="574"/>
      <c r="Y16" s="574"/>
      <c r="Z16" s="574"/>
      <c r="AA16" s="1564">
        <f t="shared" si="0"/>
        <v>5</v>
      </c>
    </row>
    <row r="17" spans="1:44" ht="15" customHeight="1">
      <c r="A17" s="2075"/>
      <c r="B17" s="184" t="s">
        <v>181</v>
      </c>
      <c r="C17" s="574"/>
      <c r="D17" s="574"/>
      <c r="E17" s="574"/>
      <c r="F17" s="574"/>
      <c r="G17" s="574"/>
      <c r="H17" s="574"/>
      <c r="I17" s="574"/>
      <c r="J17" s="574"/>
      <c r="K17" s="574"/>
      <c r="L17" s="574"/>
      <c r="M17" s="574"/>
      <c r="N17" s="574"/>
      <c r="O17" s="574"/>
      <c r="P17" s="574"/>
      <c r="Q17" s="574"/>
      <c r="R17" s="574"/>
      <c r="S17" s="574"/>
      <c r="T17" s="574"/>
      <c r="U17" s="574"/>
      <c r="V17" s="574">
        <v>1</v>
      </c>
      <c r="W17" s="574"/>
      <c r="X17" s="574"/>
      <c r="Y17" s="574"/>
      <c r="Z17" s="574"/>
      <c r="AA17" s="1564">
        <f t="shared" si="0"/>
        <v>1</v>
      </c>
    </row>
    <row r="18" spans="1:44" ht="15" customHeight="1">
      <c r="A18" s="2075"/>
      <c r="B18" s="184" t="s">
        <v>182</v>
      </c>
      <c r="C18" s="574"/>
      <c r="D18" s="574"/>
      <c r="E18" s="574">
        <v>1</v>
      </c>
      <c r="F18" s="574"/>
      <c r="G18" s="574"/>
      <c r="H18" s="574"/>
      <c r="I18" s="574"/>
      <c r="J18" s="574"/>
      <c r="K18" s="574"/>
      <c r="L18" s="574"/>
      <c r="M18" s="574"/>
      <c r="N18" s="574"/>
      <c r="O18" s="574"/>
      <c r="P18" s="574">
        <v>1</v>
      </c>
      <c r="Q18" s="574"/>
      <c r="R18" s="574"/>
      <c r="S18" s="574"/>
      <c r="T18" s="574">
        <v>1</v>
      </c>
      <c r="U18" s="574"/>
      <c r="V18" s="574"/>
      <c r="W18" s="574"/>
      <c r="X18" s="574"/>
      <c r="Y18" s="574"/>
      <c r="Z18" s="574">
        <v>1</v>
      </c>
      <c r="AA18" s="1564">
        <f t="shared" si="0"/>
        <v>4</v>
      </c>
    </row>
    <row r="19" spans="1:44" ht="15" customHeight="1">
      <c r="A19" s="2075"/>
      <c r="B19" s="184" t="s">
        <v>183</v>
      </c>
      <c r="C19" s="574">
        <v>1</v>
      </c>
      <c r="D19" s="574">
        <v>1</v>
      </c>
      <c r="E19" s="574"/>
      <c r="F19" s="574"/>
      <c r="G19" s="574"/>
      <c r="H19" s="574"/>
      <c r="I19" s="574"/>
      <c r="J19" s="574"/>
      <c r="K19" s="574"/>
      <c r="L19" s="574">
        <v>1</v>
      </c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  <c r="AA19" s="1564">
        <f t="shared" si="0"/>
        <v>3</v>
      </c>
    </row>
    <row r="20" spans="1:44" ht="15" customHeight="1">
      <c r="A20" s="2075"/>
      <c r="B20" s="184" t="s">
        <v>184</v>
      </c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>
        <v>1</v>
      </c>
      <c r="S20" s="574"/>
      <c r="T20" s="574"/>
      <c r="U20" s="574"/>
      <c r="V20" s="574"/>
      <c r="W20" s="574"/>
      <c r="X20" s="574"/>
      <c r="Y20" s="574"/>
      <c r="Z20" s="574"/>
      <c r="AA20" s="1564">
        <f t="shared" si="0"/>
        <v>1</v>
      </c>
    </row>
    <row r="21" spans="1:44" ht="15" customHeight="1">
      <c r="A21" s="2075"/>
      <c r="B21" s="184" t="s">
        <v>366</v>
      </c>
      <c r="C21" s="574"/>
      <c r="D21" s="574"/>
      <c r="E21" s="574"/>
      <c r="F21" s="574"/>
      <c r="G21" s="574"/>
      <c r="H21" s="574"/>
      <c r="I21" s="574"/>
      <c r="J21" s="574"/>
      <c r="K21" s="574"/>
      <c r="L21" s="574"/>
      <c r="M21" s="574"/>
      <c r="N21" s="574"/>
      <c r="O21" s="574"/>
      <c r="P21" s="574"/>
      <c r="Q21" s="574"/>
      <c r="R21" s="574"/>
      <c r="S21" s="574"/>
      <c r="T21" s="574"/>
      <c r="U21" s="574"/>
      <c r="V21" s="574">
        <v>1</v>
      </c>
      <c r="W21" s="574"/>
      <c r="X21" s="574"/>
      <c r="Y21" s="574"/>
      <c r="Z21" s="574"/>
      <c r="AA21" s="1564">
        <f t="shared" si="0"/>
        <v>1</v>
      </c>
    </row>
    <row r="22" spans="1:44" ht="15" customHeight="1">
      <c r="A22" s="2075"/>
      <c r="B22" s="1562" t="s">
        <v>185</v>
      </c>
      <c r="C22" s="1563">
        <v>4</v>
      </c>
      <c r="D22" s="1563">
        <v>2</v>
      </c>
      <c r="E22" s="1563">
        <v>1</v>
      </c>
      <c r="F22" s="1563">
        <v>1</v>
      </c>
      <c r="G22" s="1563"/>
      <c r="H22" s="1563">
        <v>4</v>
      </c>
      <c r="I22" s="1563"/>
      <c r="J22" s="1563">
        <v>1</v>
      </c>
      <c r="K22" s="1563"/>
      <c r="L22" s="1563">
        <v>3</v>
      </c>
      <c r="M22" s="1563"/>
      <c r="N22" s="1563"/>
      <c r="O22" s="1563">
        <v>1</v>
      </c>
      <c r="P22" s="1563"/>
      <c r="Q22" s="1563"/>
      <c r="R22" s="1563">
        <v>3</v>
      </c>
      <c r="S22" s="1563">
        <v>1</v>
      </c>
      <c r="T22" s="1563"/>
      <c r="U22" s="1563"/>
      <c r="V22" s="1563">
        <v>2</v>
      </c>
      <c r="W22" s="1563"/>
      <c r="X22" s="1563">
        <v>2</v>
      </c>
      <c r="Y22" s="1563"/>
      <c r="Z22" s="1563">
        <v>6</v>
      </c>
      <c r="AA22" s="1564">
        <f t="shared" si="0"/>
        <v>31</v>
      </c>
    </row>
    <row r="23" spans="1:44" ht="15" customHeight="1">
      <c r="A23" s="2075"/>
      <c r="B23" s="184" t="s">
        <v>186</v>
      </c>
      <c r="C23" s="574"/>
      <c r="D23" s="574"/>
      <c r="E23" s="574"/>
      <c r="F23" s="574"/>
      <c r="G23" s="574"/>
      <c r="H23" s="574"/>
      <c r="I23" s="574"/>
      <c r="J23" s="574"/>
      <c r="K23" s="574"/>
      <c r="L23" s="574"/>
      <c r="M23" s="574"/>
      <c r="N23" s="574"/>
      <c r="O23" s="574"/>
      <c r="P23" s="574">
        <v>1</v>
      </c>
      <c r="Q23" s="574"/>
      <c r="R23" s="574"/>
      <c r="S23" s="574"/>
      <c r="T23" s="574"/>
      <c r="U23" s="574"/>
      <c r="V23" s="574"/>
      <c r="W23" s="574"/>
      <c r="X23" s="574"/>
      <c r="Y23" s="574"/>
      <c r="Z23" s="574"/>
      <c r="AA23" s="1564">
        <f t="shared" si="0"/>
        <v>1</v>
      </c>
    </row>
    <row r="24" spans="1:44" ht="15" customHeight="1">
      <c r="A24" s="2075"/>
      <c r="B24" s="184" t="s">
        <v>188</v>
      </c>
      <c r="C24" s="574"/>
      <c r="D24" s="574"/>
      <c r="E24" s="574"/>
      <c r="F24" s="574">
        <v>1</v>
      </c>
      <c r="G24" s="574"/>
      <c r="H24" s="574"/>
      <c r="I24" s="574"/>
      <c r="J24" s="574"/>
      <c r="K24" s="574"/>
      <c r="L24" s="574"/>
      <c r="M24" s="574"/>
      <c r="N24" s="574"/>
      <c r="O24" s="574"/>
      <c r="P24" s="574"/>
      <c r="Q24" s="574"/>
      <c r="R24" s="574"/>
      <c r="S24" s="574">
        <v>1</v>
      </c>
      <c r="T24" s="574"/>
      <c r="U24" s="574"/>
      <c r="V24" s="574">
        <v>2</v>
      </c>
      <c r="W24" s="574"/>
      <c r="X24" s="574"/>
      <c r="Y24" s="574"/>
      <c r="Z24" s="574"/>
      <c r="AA24" s="1564">
        <f t="shared" si="0"/>
        <v>4</v>
      </c>
    </row>
    <row r="25" spans="1:44" ht="15" customHeight="1">
      <c r="A25" s="2075"/>
      <c r="B25" s="184" t="s">
        <v>189</v>
      </c>
      <c r="C25" s="574"/>
      <c r="D25" s="574"/>
      <c r="E25" s="574"/>
      <c r="F25" s="574"/>
      <c r="G25" s="574"/>
      <c r="H25" s="574"/>
      <c r="I25" s="574"/>
      <c r="J25" s="574"/>
      <c r="K25" s="574"/>
      <c r="L25" s="574"/>
      <c r="M25" s="574"/>
      <c r="N25" s="574"/>
      <c r="O25" s="574"/>
      <c r="P25" s="574"/>
      <c r="Q25" s="574"/>
      <c r="R25" s="574"/>
      <c r="S25" s="574"/>
      <c r="T25" s="574"/>
      <c r="U25" s="574"/>
      <c r="V25" s="574"/>
      <c r="W25" s="574">
        <v>1</v>
      </c>
      <c r="X25" s="574"/>
      <c r="Y25" s="574"/>
      <c r="Z25" s="574"/>
      <c r="AA25" s="1564">
        <f t="shared" si="0"/>
        <v>1</v>
      </c>
    </row>
    <row r="26" spans="1:44" ht="15" customHeight="1">
      <c r="A26" s="2075"/>
      <c r="B26" s="184" t="s">
        <v>190</v>
      </c>
      <c r="C26" s="574"/>
      <c r="D26" s="574"/>
      <c r="E26" s="574"/>
      <c r="F26" s="574"/>
      <c r="G26" s="574"/>
      <c r="H26" s="574"/>
      <c r="I26" s="574"/>
      <c r="J26" s="574"/>
      <c r="K26" s="574"/>
      <c r="L26" s="574"/>
      <c r="M26" s="574"/>
      <c r="N26" s="574">
        <v>1</v>
      </c>
      <c r="O26" s="574"/>
      <c r="P26" s="574"/>
      <c r="Q26" s="574"/>
      <c r="R26" s="574"/>
      <c r="S26" s="574"/>
      <c r="T26" s="574"/>
      <c r="U26" s="574"/>
      <c r="V26" s="574"/>
      <c r="W26" s="574"/>
      <c r="X26" s="574"/>
      <c r="Y26" s="574"/>
      <c r="Z26" s="574"/>
      <c r="AA26" s="1564">
        <f t="shared" si="0"/>
        <v>1</v>
      </c>
    </row>
    <row r="27" spans="1:44" ht="15" customHeight="1">
      <c r="A27" s="2075"/>
      <c r="B27" s="1562" t="s">
        <v>192</v>
      </c>
      <c r="C27" s="1563"/>
      <c r="D27" s="1563"/>
      <c r="E27" s="1563"/>
      <c r="F27" s="1563"/>
      <c r="G27" s="1563"/>
      <c r="H27" s="1563">
        <v>1</v>
      </c>
      <c r="I27" s="1563"/>
      <c r="J27" s="1563"/>
      <c r="K27" s="1563"/>
      <c r="L27" s="1563">
        <v>1</v>
      </c>
      <c r="M27" s="1563"/>
      <c r="N27" s="1563"/>
      <c r="O27" s="1563"/>
      <c r="P27" s="1563"/>
      <c r="Q27" s="1563"/>
      <c r="R27" s="1563">
        <v>2</v>
      </c>
      <c r="S27" s="1563">
        <v>0</v>
      </c>
      <c r="T27" s="1563"/>
      <c r="U27" s="1563"/>
      <c r="V27" s="1563"/>
      <c r="W27" s="1563"/>
      <c r="X27" s="1563"/>
      <c r="Y27" s="1563"/>
      <c r="Z27" s="1563">
        <v>1</v>
      </c>
      <c r="AA27" s="1564">
        <f t="shared" si="0"/>
        <v>5</v>
      </c>
    </row>
    <row r="28" spans="1:44" ht="15" customHeight="1">
      <c r="A28" s="2075"/>
      <c r="B28" s="1148" t="s">
        <v>147</v>
      </c>
      <c r="C28" s="1149">
        <f>SUM(C9:C27)</f>
        <v>5</v>
      </c>
      <c r="D28" s="1149">
        <f>SUM(D9:D27)</f>
        <v>4</v>
      </c>
      <c r="E28" s="1149"/>
      <c r="F28" s="1149">
        <f>SUM(F9:F27)</f>
        <v>3</v>
      </c>
      <c r="G28" s="1149">
        <f>SUM(G9:G27)</f>
        <v>2</v>
      </c>
      <c r="H28" s="1149">
        <f>SUM(H9:H27)</f>
        <v>6</v>
      </c>
      <c r="I28" s="1149">
        <f>SUM(I9:I27)</f>
        <v>1</v>
      </c>
      <c r="J28" s="1149">
        <f>SUM(J9:J27)</f>
        <v>4</v>
      </c>
      <c r="K28" s="1149">
        <v>1</v>
      </c>
      <c r="L28" s="1149">
        <f t="shared" ref="L28:AA28" si="1">SUM(L9:L27)</f>
        <v>7</v>
      </c>
      <c r="M28" s="1149">
        <f t="shared" si="1"/>
        <v>3</v>
      </c>
      <c r="N28" s="1149">
        <f t="shared" si="1"/>
        <v>3</v>
      </c>
      <c r="O28" s="1149">
        <f t="shared" si="1"/>
        <v>2</v>
      </c>
      <c r="P28" s="1149">
        <f t="shared" si="1"/>
        <v>5</v>
      </c>
      <c r="Q28" s="1149">
        <f t="shared" si="1"/>
        <v>4</v>
      </c>
      <c r="R28" s="1149">
        <f t="shared" si="1"/>
        <v>6</v>
      </c>
      <c r="S28" s="1149">
        <f t="shared" si="1"/>
        <v>3</v>
      </c>
      <c r="T28" s="1149">
        <f t="shared" si="1"/>
        <v>2</v>
      </c>
      <c r="U28" s="1149">
        <f t="shared" si="1"/>
        <v>0</v>
      </c>
      <c r="V28" s="1149">
        <f t="shared" si="1"/>
        <v>6</v>
      </c>
      <c r="W28" s="1149">
        <f t="shared" si="1"/>
        <v>1</v>
      </c>
      <c r="X28" s="1149">
        <f t="shared" si="1"/>
        <v>2</v>
      </c>
      <c r="Y28" s="1149">
        <f t="shared" si="1"/>
        <v>0</v>
      </c>
      <c r="Z28" s="1149">
        <f t="shared" si="1"/>
        <v>8</v>
      </c>
      <c r="AA28" s="1150">
        <f t="shared" si="1"/>
        <v>81</v>
      </c>
      <c r="AC28" s="1575"/>
      <c r="AD28" s="1575"/>
      <c r="AE28" s="1575"/>
      <c r="AF28" s="1575"/>
      <c r="AG28" s="1575"/>
      <c r="AH28" s="1575"/>
      <c r="AI28" s="1575"/>
      <c r="AJ28" s="1575"/>
      <c r="AK28" s="1575"/>
      <c r="AL28" s="1575"/>
      <c r="AM28" s="1575"/>
      <c r="AN28" s="1575"/>
      <c r="AO28" s="1575"/>
      <c r="AP28" s="1575"/>
      <c r="AQ28" s="1575"/>
      <c r="AR28" s="1575"/>
    </row>
    <row r="29" spans="1:44" ht="15" customHeight="1">
      <c r="A29" s="2076" t="s">
        <v>194</v>
      </c>
      <c r="B29" s="183" t="s">
        <v>169</v>
      </c>
      <c r="C29" s="574"/>
      <c r="D29" s="1959">
        <v>1</v>
      </c>
      <c r="E29" s="1961"/>
      <c r="F29" s="1960"/>
      <c r="G29" s="574"/>
      <c r="H29" s="574"/>
      <c r="I29" s="574"/>
      <c r="J29" s="574"/>
      <c r="K29" s="574"/>
      <c r="L29" s="574"/>
      <c r="M29" s="574"/>
      <c r="N29" s="574"/>
      <c r="O29" s="574"/>
      <c r="P29" s="574"/>
      <c r="Q29" s="574"/>
      <c r="R29" s="574"/>
      <c r="S29" s="574"/>
      <c r="T29" s="574"/>
      <c r="U29" s="574"/>
      <c r="V29" s="574"/>
      <c r="W29" s="574"/>
      <c r="X29" s="574"/>
      <c r="Y29" s="574"/>
      <c r="Z29" s="574"/>
      <c r="AA29" s="1207">
        <f t="shared" ref="AA29:AA44" si="2">SUM(C29:Z29)</f>
        <v>1</v>
      </c>
    </row>
    <row r="30" spans="1:44" ht="15" customHeight="1">
      <c r="A30" s="2076"/>
      <c r="B30" s="184" t="s">
        <v>170</v>
      </c>
      <c r="C30" s="574"/>
      <c r="D30" s="574"/>
      <c r="E30" s="574"/>
      <c r="F30" s="574"/>
      <c r="G30" s="574"/>
      <c r="H30" s="574"/>
      <c r="I30" s="574"/>
      <c r="J30" s="574"/>
      <c r="K30" s="574"/>
      <c r="L30" s="574">
        <v>1</v>
      </c>
      <c r="M30" s="574"/>
      <c r="N30" s="574"/>
      <c r="O30" s="574"/>
      <c r="P30" s="574"/>
      <c r="Q30" s="574"/>
      <c r="R30" s="574">
        <v>1</v>
      </c>
      <c r="S30" s="574"/>
      <c r="T30" s="574"/>
      <c r="U30" s="574"/>
      <c r="V30" s="574"/>
      <c r="W30" s="574"/>
      <c r="X30" s="574"/>
      <c r="Y30" s="574"/>
      <c r="Z30" s="574"/>
      <c r="AA30" s="1207">
        <f t="shared" si="2"/>
        <v>2</v>
      </c>
    </row>
    <row r="31" spans="1:44" ht="15" customHeight="1">
      <c r="A31" s="2076"/>
      <c r="B31" s="1560" t="s">
        <v>174</v>
      </c>
      <c r="C31" s="1561"/>
      <c r="D31" s="1561"/>
      <c r="E31" s="1561"/>
      <c r="F31" s="1561"/>
      <c r="G31" s="1561">
        <v>1</v>
      </c>
      <c r="H31" s="1561">
        <v>1</v>
      </c>
      <c r="I31" s="1561"/>
      <c r="J31" s="1561">
        <v>1</v>
      </c>
      <c r="K31" s="1561"/>
      <c r="L31" s="1561"/>
      <c r="M31" s="1561"/>
      <c r="N31" s="1561"/>
      <c r="O31" s="1561"/>
      <c r="P31" s="1561"/>
      <c r="Q31" s="1561"/>
      <c r="R31" s="1561">
        <v>1</v>
      </c>
      <c r="S31" s="1561"/>
      <c r="T31" s="1561"/>
      <c r="U31" s="1561">
        <v>1</v>
      </c>
      <c r="V31" s="1561"/>
      <c r="W31" s="1561"/>
      <c r="X31" s="1561"/>
      <c r="Y31" s="1561"/>
      <c r="Z31" s="1561"/>
      <c r="AA31" s="1207">
        <f t="shared" si="2"/>
        <v>5</v>
      </c>
    </row>
    <row r="32" spans="1:44" ht="15" customHeight="1">
      <c r="A32" s="2076"/>
      <c r="B32" s="184" t="s">
        <v>176</v>
      </c>
      <c r="C32" s="574"/>
      <c r="D32" s="574"/>
      <c r="E32" s="574"/>
      <c r="F32" s="574"/>
      <c r="G32" s="574"/>
      <c r="H32" s="574"/>
      <c r="I32" s="574"/>
      <c r="J32" s="574"/>
      <c r="K32" s="574"/>
      <c r="L32" s="574"/>
      <c r="M32" s="574"/>
      <c r="N32" s="574"/>
      <c r="O32" s="574"/>
      <c r="P32" s="574"/>
      <c r="Q32" s="574">
        <v>1</v>
      </c>
      <c r="R32" s="574"/>
      <c r="S32" s="574"/>
      <c r="T32" s="574"/>
      <c r="U32" s="574"/>
      <c r="V32" s="574"/>
      <c r="W32" s="574"/>
      <c r="X32" s="574"/>
      <c r="Y32" s="574"/>
      <c r="Z32" s="574"/>
      <c r="AA32" s="1207">
        <f t="shared" si="2"/>
        <v>1</v>
      </c>
    </row>
    <row r="33" spans="1:27" ht="15" customHeight="1">
      <c r="A33" s="2076"/>
      <c r="B33" s="184" t="s">
        <v>199</v>
      </c>
      <c r="C33" s="574"/>
      <c r="D33" s="574"/>
      <c r="E33" s="574"/>
      <c r="F33" s="574">
        <v>1</v>
      </c>
      <c r="G33" s="574"/>
      <c r="H33" s="574"/>
      <c r="I33" s="574"/>
      <c r="J33" s="574"/>
      <c r="K33" s="574"/>
      <c r="L33" s="574"/>
      <c r="M33" s="574"/>
      <c r="N33" s="574"/>
      <c r="O33" s="574"/>
      <c r="P33" s="574"/>
      <c r="Q33" s="574"/>
      <c r="R33" s="574"/>
      <c r="S33" s="574"/>
      <c r="T33" s="574"/>
      <c r="U33" s="574"/>
      <c r="V33" s="574"/>
      <c r="W33" s="574"/>
      <c r="X33" s="574"/>
      <c r="Y33" s="574"/>
      <c r="Z33" s="574"/>
      <c r="AA33" s="1207">
        <f t="shared" si="2"/>
        <v>1</v>
      </c>
    </row>
    <row r="34" spans="1:27" ht="15" customHeight="1">
      <c r="A34" s="2076"/>
      <c r="B34" s="184" t="s">
        <v>177</v>
      </c>
      <c r="C34" s="574"/>
      <c r="D34" s="574"/>
      <c r="E34" s="574"/>
      <c r="F34" s="574"/>
      <c r="G34" s="574"/>
      <c r="H34" s="574"/>
      <c r="I34" s="574"/>
      <c r="J34" s="574"/>
      <c r="K34" s="574"/>
      <c r="L34" s="574">
        <v>1</v>
      </c>
      <c r="M34" s="574"/>
      <c r="N34" s="574"/>
      <c r="O34" s="574"/>
      <c r="P34" s="574"/>
      <c r="Q34" s="574"/>
      <c r="R34" s="574"/>
      <c r="S34" s="574"/>
      <c r="T34" s="574"/>
      <c r="U34" s="574"/>
      <c r="V34" s="574"/>
      <c r="W34" s="574"/>
      <c r="X34" s="574"/>
      <c r="Y34" s="574"/>
      <c r="Z34" s="574"/>
      <c r="AA34" s="1207">
        <f t="shared" si="2"/>
        <v>1</v>
      </c>
    </row>
    <row r="35" spans="1:27" ht="15" customHeight="1">
      <c r="A35" s="2076"/>
      <c r="B35" s="184" t="s">
        <v>179</v>
      </c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M35" s="574"/>
      <c r="N35" s="574"/>
      <c r="O35" s="574"/>
      <c r="P35" s="574"/>
      <c r="Q35" s="574"/>
      <c r="R35" s="574"/>
      <c r="S35" s="574"/>
      <c r="T35" s="574">
        <v>1</v>
      </c>
      <c r="U35" s="574"/>
      <c r="V35" s="574"/>
      <c r="W35" s="574"/>
      <c r="X35" s="574"/>
      <c r="Y35" s="574"/>
      <c r="Z35" s="574"/>
      <c r="AA35" s="1207">
        <f t="shared" si="2"/>
        <v>1</v>
      </c>
    </row>
    <row r="36" spans="1:27" ht="15" customHeight="1">
      <c r="A36" s="2076"/>
      <c r="B36" s="184" t="s">
        <v>180</v>
      </c>
      <c r="C36" s="574"/>
      <c r="D36" s="574"/>
      <c r="E36" s="574"/>
      <c r="F36" s="574"/>
      <c r="G36" s="574">
        <v>1</v>
      </c>
      <c r="H36" s="574"/>
      <c r="I36" s="574"/>
      <c r="J36" s="574"/>
      <c r="K36" s="574"/>
      <c r="L36" s="574"/>
      <c r="M36" s="574"/>
      <c r="N36" s="574"/>
      <c r="O36" s="574"/>
      <c r="P36" s="574"/>
      <c r="Q36" s="574"/>
      <c r="R36" s="574"/>
      <c r="S36" s="574"/>
      <c r="T36" s="574"/>
      <c r="U36" s="574"/>
      <c r="V36" s="574"/>
      <c r="W36" s="574"/>
      <c r="X36" s="574"/>
      <c r="Y36" s="574"/>
      <c r="Z36" s="574"/>
      <c r="AA36" s="1207">
        <f t="shared" si="2"/>
        <v>1</v>
      </c>
    </row>
    <row r="37" spans="1:27" ht="15" customHeight="1">
      <c r="A37" s="2076"/>
      <c r="B37" s="184" t="s">
        <v>181</v>
      </c>
      <c r="C37" s="574"/>
      <c r="D37" s="574"/>
      <c r="E37" s="574"/>
      <c r="F37" s="574"/>
      <c r="G37" s="574"/>
      <c r="H37" s="574"/>
      <c r="I37" s="574"/>
      <c r="J37" s="574">
        <v>1</v>
      </c>
      <c r="K37" s="574"/>
      <c r="L37" s="574"/>
      <c r="M37" s="574"/>
      <c r="N37" s="574"/>
      <c r="O37" s="574"/>
      <c r="P37" s="574"/>
      <c r="Q37" s="574"/>
      <c r="R37" s="574"/>
      <c r="S37" s="574"/>
      <c r="T37" s="574"/>
      <c r="U37" s="574"/>
      <c r="V37" s="574"/>
      <c r="W37" s="574"/>
      <c r="X37" s="574"/>
      <c r="Y37" s="574"/>
      <c r="Z37" s="574"/>
      <c r="AA37" s="1207">
        <f t="shared" si="2"/>
        <v>1</v>
      </c>
    </row>
    <row r="38" spans="1:27" ht="15" customHeight="1">
      <c r="A38" s="2076"/>
      <c r="B38" s="184" t="s">
        <v>182</v>
      </c>
      <c r="C38" s="574"/>
      <c r="D38" s="574"/>
      <c r="E38" s="574"/>
      <c r="F38" s="574"/>
      <c r="G38" s="574"/>
      <c r="H38" s="574"/>
      <c r="I38" s="574"/>
      <c r="J38" s="574"/>
      <c r="K38" s="574"/>
      <c r="L38" s="574"/>
      <c r="M38" s="574"/>
      <c r="N38" s="574"/>
      <c r="O38" s="574"/>
      <c r="P38" s="574"/>
      <c r="Q38" s="574"/>
      <c r="R38" s="574"/>
      <c r="S38" s="574"/>
      <c r="T38" s="574">
        <v>1</v>
      </c>
      <c r="U38" s="574"/>
      <c r="V38" s="574"/>
      <c r="W38" s="574"/>
      <c r="X38" s="574"/>
      <c r="Y38" s="574"/>
      <c r="Z38" s="574"/>
      <c r="AA38" s="1207">
        <f t="shared" si="2"/>
        <v>1</v>
      </c>
    </row>
    <row r="39" spans="1:27" ht="15" customHeight="1">
      <c r="A39" s="2076"/>
      <c r="B39" s="1560" t="s">
        <v>185</v>
      </c>
      <c r="C39" s="1561"/>
      <c r="D39" s="1561">
        <v>1</v>
      </c>
      <c r="E39" s="1561"/>
      <c r="F39" s="1561"/>
      <c r="G39" s="1561"/>
      <c r="H39" s="1561">
        <v>2</v>
      </c>
      <c r="I39" s="1561">
        <v>1</v>
      </c>
      <c r="J39" s="1561">
        <v>2</v>
      </c>
      <c r="K39" s="1561"/>
      <c r="L39" s="1561">
        <v>1</v>
      </c>
      <c r="M39" s="1561">
        <v>1</v>
      </c>
      <c r="N39" s="1561"/>
      <c r="O39" s="1561"/>
      <c r="P39" s="1561"/>
      <c r="Q39" s="1561"/>
      <c r="R39" s="1561"/>
      <c r="S39" s="1561"/>
      <c r="T39" s="1561">
        <v>1</v>
      </c>
      <c r="U39" s="1561"/>
      <c r="V39" s="1561">
        <v>1</v>
      </c>
      <c r="W39" s="1561"/>
      <c r="X39" s="1561"/>
      <c r="Y39" s="1561"/>
      <c r="Z39" s="1561">
        <v>2</v>
      </c>
      <c r="AA39" s="1207">
        <f t="shared" si="2"/>
        <v>12</v>
      </c>
    </row>
    <row r="40" spans="1:27" ht="15" customHeight="1">
      <c r="A40" s="2076"/>
      <c r="B40" s="184" t="s">
        <v>188</v>
      </c>
      <c r="C40" s="574"/>
      <c r="D40" s="574"/>
      <c r="E40" s="574"/>
      <c r="F40" s="574"/>
      <c r="G40" s="574"/>
      <c r="H40" s="574">
        <v>1</v>
      </c>
      <c r="I40" s="574"/>
      <c r="J40" s="574"/>
      <c r="K40" s="574"/>
      <c r="L40" s="574"/>
      <c r="M40" s="574"/>
      <c r="N40" s="574"/>
      <c r="O40" s="574"/>
      <c r="P40" s="574"/>
      <c r="Q40" s="574"/>
      <c r="R40" s="574"/>
      <c r="S40" s="574"/>
      <c r="T40" s="574"/>
      <c r="U40" s="574"/>
      <c r="V40" s="574">
        <v>1</v>
      </c>
      <c r="W40" s="574"/>
      <c r="X40" s="574"/>
      <c r="Y40" s="574"/>
      <c r="Z40" s="574"/>
      <c r="AA40" s="1207">
        <f t="shared" si="2"/>
        <v>2</v>
      </c>
    </row>
    <row r="41" spans="1:27" ht="15" customHeight="1">
      <c r="A41" s="2076"/>
      <c r="B41" s="184" t="s">
        <v>189</v>
      </c>
      <c r="C41" s="574"/>
      <c r="D41" s="574"/>
      <c r="E41" s="574"/>
      <c r="F41" s="574"/>
      <c r="G41" s="574"/>
      <c r="H41" s="574"/>
      <c r="I41" s="574"/>
      <c r="J41" s="574"/>
      <c r="K41" s="574"/>
      <c r="L41" s="574"/>
      <c r="M41" s="574"/>
      <c r="N41" s="574"/>
      <c r="O41" s="574">
        <v>1</v>
      </c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Z41" s="574"/>
      <c r="AA41" s="1207">
        <f t="shared" si="2"/>
        <v>1</v>
      </c>
    </row>
    <row r="42" spans="1:27" ht="15" customHeight="1">
      <c r="A42" s="2076"/>
      <c r="B42" s="184" t="s">
        <v>190</v>
      </c>
      <c r="C42" s="574"/>
      <c r="D42" s="574"/>
      <c r="E42" s="574"/>
      <c r="F42" s="574"/>
      <c r="G42" s="574"/>
      <c r="H42" s="574"/>
      <c r="I42" s="574"/>
      <c r="J42" s="574"/>
      <c r="K42" s="574"/>
      <c r="L42" s="574"/>
      <c r="M42" s="574"/>
      <c r="N42" s="574"/>
      <c r="O42" s="574"/>
      <c r="P42" s="574"/>
      <c r="Q42" s="574"/>
      <c r="R42" s="574">
        <v>1</v>
      </c>
      <c r="S42" s="574"/>
      <c r="T42" s="574"/>
      <c r="U42" s="574"/>
      <c r="V42" s="574"/>
      <c r="W42" s="574"/>
      <c r="X42" s="574"/>
      <c r="Y42" s="574"/>
      <c r="Z42" s="574"/>
      <c r="AA42" s="1207">
        <f t="shared" si="2"/>
        <v>1</v>
      </c>
    </row>
    <row r="43" spans="1:27" ht="15" customHeight="1">
      <c r="A43" s="2076"/>
      <c r="B43" s="184" t="s">
        <v>191</v>
      </c>
      <c r="C43" s="574"/>
      <c r="D43" s="574"/>
      <c r="E43" s="574"/>
      <c r="F43" s="574"/>
      <c r="G43" s="574">
        <v>1</v>
      </c>
      <c r="H43" s="574"/>
      <c r="I43" s="574"/>
      <c r="J43" s="574"/>
      <c r="K43" s="574"/>
      <c r="L43" s="574"/>
      <c r="M43" s="574"/>
      <c r="N43" s="574"/>
      <c r="O43" s="574"/>
      <c r="P43" s="574"/>
      <c r="Q43" s="574"/>
      <c r="R43" s="574"/>
      <c r="S43" s="574"/>
      <c r="T43" s="574"/>
      <c r="U43" s="574"/>
      <c r="V43" s="574"/>
      <c r="W43" s="574"/>
      <c r="X43" s="574"/>
      <c r="Y43" s="574"/>
      <c r="Z43" s="574">
        <v>1</v>
      </c>
      <c r="AA43" s="1207">
        <f t="shared" si="2"/>
        <v>2</v>
      </c>
    </row>
    <row r="44" spans="1:27" ht="15" customHeight="1">
      <c r="A44" s="2076"/>
      <c r="B44" s="185" t="s">
        <v>192</v>
      </c>
      <c r="C44" s="575"/>
      <c r="D44" s="575">
        <v>1</v>
      </c>
      <c r="E44" s="575"/>
      <c r="F44" s="575"/>
      <c r="G44" s="575"/>
      <c r="H44" s="575"/>
      <c r="I44" s="575"/>
      <c r="J44" s="575"/>
      <c r="K44" s="575"/>
      <c r="L44" s="575"/>
      <c r="M44" s="575"/>
      <c r="N44" s="575"/>
      <c r="O44" s="575"/>
      <c r="P44" s="575"/>
      <c r="Q44" s="575"/>
      <c r="R44" s="575"/>
      <c r="S44" s="575"/>
      <c r="T44" s="575"/>
      <c r="U44" s="575"/>
      <c r="V44" s="575"/>
      <c r="W44" s="575">
        <v>1</v>
      </c>
      <c r="X44" s="575"/>
      <c r="Y44" s="575"/>
      <c r="Z44" s="575">
        <v>2</v>
      </c>
      <c r="AA44" s="1207">
        <f t="shared" si="2"/>
        <v>4</v>
      </c>
    </row>
    <row r="45" spans="1:27" ht="15" customHeight="1">
      <c r="A45" s="2077"/>
      <c r="B45" s="1148" t="s">
        <v>195</v>
      </c>
      <c r="C45" s="1149">
        <f>SUM(C29:C44)</f>
        <v>0</v>
      </c>
      <c r="D45" s="1149">
        <f>SUM(D29:D44)</f>
        <v>3</v>
      </c>
      <c r="E45" s="1149"/>
      <c r="F45" s="1149">
        <f t="shared" ref="F45:AA45" si="3">SUM(F29:F44)</f>
        <v>1</v>
      </c>
      <c r="G45" s="1149">
        <f t="shared" si="3"/>
        <v>3</v>
      </c>
      <c r="H45" s="1149">
        <f t="shared" si="3"/>
        <v>4</v>
      </c>
      <c r="I45" s="1149">
        <f t="shared" si="3"/>
        <v>1</v>
      </c>
      <c r="J45" s="1149">
        <f t="shared" si="3"/>
        <v>4</v>
      </c>
      <c r="K45" s="1149">
        <f t="shared" si="3"/>
        <v>0</v>
      </c>
      <c r="L45" s="1149">
        <f t="shared" si="3"/>
        <v>3</v>
      </c>
      <c r="M45" s="1149">
        <f t="shared" si="3"/>
        <v>1</v>
      </c>
      <c r="N45" s="1149">
        <f t="shared" si="3"/>
        <v>0</v>
      </c>
      <c r="O45" s="1149">
        <f t="shared" si="3"/>
        <v>1</v>
      </c>
      <c r="P45" s="1149">
        <f t="shared" si="3"/>
        <v>0</v>
      </c>
      <c r="Q45" s="1149">
        <f t="shared" si="3"/>
        <v>1</v>
      </c>
      <c r="R45" s="1149">
        <f t="shared" si="3"/>
        <v>3</v>
      </c>
      <c r="S45" s="1149">
        <f t="shared" si="3"/>
        <v>0</v>
      </c>
      <c r="T45" s="1149">
        <f t="shared" si="3"/>
        <v>3</v>
      </c>
      <c r="U45" s="1149">
        <f t="shared" si="3"/>
        <v>1</v>
      </c>
      <c r="V45" s="1149">
        <f t="shared" si="3"/>
        <v>2</v>
      </c>
      <c r="W45" s="1149">
        <f t="shared" si="3"/>
        <v>1</v>
      </c>
      <c r="X45" s="1149">
        <f t="shared" si="3"/>
        <v>0</v>
      </c>
      <c r="Y45" s="1149">
        <f t="shared" si="3"/>
        <v>0</v>
      </c>
      <c r="Z45" s="1149">
        <f t="shared" si="3"/>
        <v>5</v>
      </c>
      <c r="AA45" s="1150">
        <f t="shared" si="3"/>
        <v>37</v>
      </c>
    </row>
    <row r="46" spans="1:27" ht="15" customHeight="1">
      <c r="A46" s="2078" t="s">
        <v>707</v>
      </c>
      <c r="B46" s="186" t="s">
        <v>169</v>
      </c>
      <c r="C46" s="576"/>
      <c r="D46" s="576"/>
      <c r="E46" s="576"/>
      <c r="F46" s="576"/>
      <c r="G46" s="576"/>
      <c r="H46" s="576"/>
      <c r="I46" s="576"/>
      <c r="J46" s="576"/>
      <c r="K46" s="576"/>
      <c r="L46" s="576"/>
      <c r="M46" s="576"/>
      <c r="N46" s="576"/>
      <c r="O46" s="576"/>
      <c r="P46" s="576"/>
      <c r="Q46" s="576"/>
      <c r="R46" s="576"/>
      <c r="S46" s="576">
        <v>2</v>
      </c>
      <c r="T46" s="576"/>
      <c r="U46" s="576"/>
      <c r="V46" s="576"/>
      <c r="W46" s="576"/>
      <c r="X46" s="576"/>
      <c r="Y46" s="576"/>
      <c r="Z46" s="576"/>
      <c r="AA46" s="1207">
        <f t="shared" ref="AA46:AA54" si="4">SUM(C46:Z46)</f>
        <v>2</v>
      </c>
    </row>
    <row r="47" spans="1:27" ht="15" customHeight="1">
      <c r="A47" s="2076"/>
      <c r="B47" s="186" t="s">
        <v>172</v>
      </c>
      <c r="C47" s="576"/>
      <c r="D47" s="576"/>
      <c r="E47" s="576"/>
      <c r="F47" s="576"/>
      <c r="G47" s="576"/>
      <c r="H47" s="576"/>
      <c r="I47" s="576"/>
      <c r="J47" s="576"/>
      <c r="K47" s="576"/>
      <c r="L47" s="576"/>
      <c r="M47" s="576"/>
      <c r="N47" s="576"/>
      <c r="O47" s="576"/>
      <c r="P47" s="576"/>
      <c r="Q47" s="576"/>
      <c r="R47" s="576"/>
      <c r="S47" s="576"/>
      <c r="T47" s="576"/>
      <c r="U47" s="576"/>
      <c r="V47" s="576"/>
      <c r="W47" s="576"/>
      <c r="X47" s="576"/>
      <c r="Y47" s="576"/>
      <c r="Z47" s="576">
        <v>1</v>
      </c>
      <c r="AA47" s="1207">
        <f t="shared" si="4"/>
        <v>1</v>
      </c>
    </row>
    <row r="48" spans="1:27" ht="15" customHeight="1">
      <c r="A48" s="2076"/>
      <c r="B48" s="1560" t="s">
        <v>174</v>
      </c>
      <c r="C48" s="1561"/>
      <c r="D48" s="1561"/>
      <c r="E48" s="1561"/>
      <c r="F48" s="1561"/>
      <c r="G48" s="1561"/>
      <c r="H48" s="1561"/>
      <c r="I48" s="1561"/>
      <c r="J48" s="1561"/>
      <c r="K48" s="1561"/>
      <c r="L48" s="1561"/>
      <c r="M48" s="1561"/>
      <c r="N48" s="1561"/>
      <c r="O48" s="1561"/>
      <c r="P48" s="1561"/>
      <c r="Q48" s="1561"/>
      <c r="R48" s="1561"/>
      <c r="S48" s="1561"/>
      <c r="T48" s="1561"/>
      <c r="U48" s="1561"/>
      <c r="V48" s="1561">
        <v>1</v>
      </c>
      <c r="W48" s="1561"/>
      <c r="X48" s="1561"/>
      <c r="Y48" s="1561"/>
      <c r="Z48" s="1561"/>
      <c r="AA48" s="1207">
        <f t="shared" si="4"/>
        <v>1</v>
      </c>
    </row>
    <row r="49" spans="1:50" ht="15" customHeight="1">
      <c r="A49" s="2076"/>
      <c r="B49" s="186" t="s">
        <v>176</v>
      </c>
      <c r="C49" s="576"/>
      <c r="D49" s="576"/>
      <c r="E49" s="576"/>
      <c r="F49" s="576"/>
      <c r="G49" s="576"/>
      <c r="H49" s="576"/>
      <c r="I49" s="576"/>
      <c r="J49" s="576"/>
      <c r="K49" s="576"/>
      <c r="L49" s="576"/>
      <c r="M49" s="576"/>
      <c r="N49" s="576"/>
      <c r="O49" s="576"/>
      <c r="P49" s="576"/>
      <c r="Q49" s="576"/>
      <c r="R49" s="576"/>
      <c r="S49" s="576"/>
      <c r="T49" s="576"/>
      <c r="U49" s="576"/>
      <c r="V49" s="576"/>
      <c r="W49" s="576"/>
      <c r="X49" s="576"/>
      <c r="Y49" s="576">
        <v>1</v>
      </c>
      <c r="Z49" s="576"/>
      <c r="AA49" s="1207">
        <f t="shared" si="4"/>
        <v>1</v>
      </c>
    </row>
    <row r="50" spans="1:50" ht="15" customHeight="1">
      <c r="A50" s="2076"/>
      <c r="B50" s="184" t="s">
        <v>179</v>
      </c>
      <c r="C50" s="574"/>
      <c r="D50" s="574"/>
      <c r="E50" s="574"/>
      <c r="F50" s="574"/>
      <c r="G50" s="574"/>
      <c r="H50" s="574"/>
      <c r="I50" s="574"/>
      <c r="J50" s="574">
        <v>1</v>
      </c>
      <c r="K50" s="574"/>
      <c r="L50" s="574"/>
      <c r="M50" s="574"/>
      <c r="N50" s="574"/>
      <c r="O50" s="574"/>
      <c r="P50" s="574"/>
      <c r="Q50" s="574"/>
      <c r="R50" s="574"/>
      <c r="S50" s="574"/>
      <c r="T50" s="574"/>
      <c r="U50" s="574"/>
      <c r="V50" s="574"/>
      <c r="W50" s="574"/>
      <c r="X50" s="574"/>
      <c r="Y50" s="574"/>
      <c r="Z50" s="574"/>
      <c r="AA50" s="1207">
        <f t="shared" si="4"/>
        <v>1</v>
      </c>
    </row>
    <row r="51" spans="1:50" s="577" customFormat="1" ht="13.2">
      <c r="A51" s="2076"/>
      <c r="B51" s="186" t="s">
        <v>180</v>
      </c>
      <c r="C51" s="576"/>
      <c r="D51" s="576"/>
      <c r="E51" s="576"/>
      <c r="F51" s="576"/>
      <c r="G51" s="576">
        <v>1</v>
      </c>
      <c r="H51" s="576"/>
      <c r="I51" s="576"/>
      <c r="J51" s="576"/>
      <c r="K51" s="576"/>
      <c r="L51" s="576"/>
      <c r="M51" s="576"/>
      <c r="N51" s="576"/>
      <c r="O51" s="576"/>
      <c r="P51" s="576"/>
      <c r="Q51" s="576"/>
      <c r="R51" s="576"/>
      <c r="S51" s="576"/>
      <c r="T51" s="576"/>
      <c r="U51" s="576"/>
      <c r="V51" s="576"/>
      <c r="W51" s="576">
        <v>1</v>
      </c>
      <c r="X51" s="576"/>
      <c r="Y51" s="576"/>
      <c r="Z51" s="576"/>
      <c r="AA51" s="1207">
        <f t="shared" si="4"/>
        <v>2</v>
      </c>
      <c r="AC51" s="1576"/>
      <c r="AD51" s="1576"/>
      <c r="AE51" s="1576"/>
      <c r="AF51" s="1576"/>
      <c r="AG51" s="1576"/>
      <c r="AH51" s="1576"/>
      <c r="AI51" s="1576"/>
      <c r="AJ51" s="1576"/>
      <c r="AK51" s="1576"/>
      <c r="AL51" s="1576"/>
      <c r="AM51" s="1576"/>
      <c r="AN51" s="1576"/>
      <c r="AO51" s="1576"/>
      <c r="AP51" s="1576"/>
      <c r="AQ51" s="1576"/>
      <c r="AR51" s="1576"/>
      <c r="AS51" s="1576"/>
      <c r="AT51" s="1576"/>
      <c r="AU51" s="1576"/>
      <c r="AV51" s="1576"/>
      <c r="AW51" s="1576"/>
      <c r="AX51" s="1576"/>
    </row>
    <row r="52" spans="1:50" s="577" customFormat="1" ht="13.2">
      <c r="A52" s="2076"/>
      <c r="B52" s="186" t="s">
        <v>181</v>
      </c>
      <c r="C52" s="576"/>
      <c r="D52" s="576"/>
      <c r="E52" s="576"/>
      <c r="F52" s="576"/>
      <c r="G52" s="576"/>
      <c r="H52" s="576"/>
      <c r="I52" s="576"/>
      <c r="J52" s="576"/>
      <c r="K52" s="576"/>
      <c r="L52" s="576"/>
      <c r="M52" s="576"/>
      <c r="N52" s="576"/>
      <c r="O52" s="576"/>
      <c r="P52" s="576"/>
      <c r="Q52" s="576"/>
      <c r="R52" s="576"/>
      <c r="S52" s="576">
        <v>1</v>
      </c>
      <c r="T52" s="576"/>
      <c r="U52" s="576"/>
      <c r="V52" s="576"/>
      <c r="W52" s="576"/>
      <c r="X52" s="576"/>
      <c r="Y52" s="576"/>
      <c r="Z52" s="576"/>
      <c r="AA52" s="1207">
        <f t="shared" si="4"/>
        <v>1</v>
      </c>
      <c r="AC52" s="1576"/>
      <c r="AD52" s="1576"/>
      <c r="AE52" s="1576"/>
      <c r="AF52" s="1576"/>
      <c r="AG52" s="1576"/>
      <c r="AH52" s="1576"/>
      <c r="AI52" s="1576"/>
      <c r="AJ52" s="1576"/>
      <c r="AK52" s="1576"/>
      <c r="AL52" s="1576"/>
      <c r="AM52" s="1576"/>
      <c r="AN52" s="1576"/>
      <c r="AO52" s="1576"/>
      <c r="AP52" s="1576"/>
      <c r="AQ52" s="1576"/>
      <c r="AR52" s="1576"/>
      <c r="AS52" s="1576"/>
      <c r="AT52" s="1576"/>
      <c r="AU52" s="1576"/>
      <c r="AV52" s="1576"/>
      <c r="AW52" s="1576"/>
      <c r="AX52" s="1576"/>
    </row>
    <row r="53" spans="1:50" ht="13.2">
      <c r="A53" s="2076"/>
      <c r="B53" s="186" t="s">
        <v>183</v>
      </c>
      <c r="C53" s="576"/>
      <c r="D53" s="576"/>
      <c r="E53" s="576"/>
      <c r="F53" s="576"/>
      <c r="G53" s="576"/>
      <c r="H53" s="576"/>
      <c r="I53" s="576">
        <v>1</v>
      </c>
      <c r="J53" s="576"/>
      <c r="K53" s="576"/>
      <c r="L53" s="576"/>
      <c r="M53" s="576"/>
      <c r="N53" s="576"/>
      <c r="O53" s="576"/>
      <c r="P53" s="576"/>
      <c r="Q53" s="576"/>
      <c r="R53" s="576"/>
      <c r="S53" s="576"/>
      <c r="T53" s="576"/>
      <c r="U53" s="576"/>
      <c r="V53" s="576"/>
      <c r="W53" s="576"/>
      <c r="X53" s="576"/>
      <c r="Y53" s="576"/>
      <c r="Z53" s="576">
        <v>1</v>
      </c>
      <c r="AA53" s="1207">
        <f t="shared" si="4"/>
        <v>2</v>
      </c>
    </row>
    <row r="54" spans="1:50" ht="15.75" customHeight="1">
      <c r="A54" s="2076"/>
      <c r="B54" s="185" t="s">
        <v>191</v>
      </c>
      <c r="C54" s="575"/>
      <c r="D54" s="575"/>
      <c r="E54" s="575"/>
      <c r="F54" s="575"/>
      <c r="G54" s="575"/>
      <c r="H54" s="575"/>
      <c r="I54" s="575"/>
      <c r="J54" s="575"/>
      <c r="K54" s="575"/>
      <c r="L54" s="575"/>
      <c r="M54" s="575"/>
      <c r="N54" s="575"/>
      <c r="O54" s="575">
        <v>1</v>
      </c>
      <c r="P54" s="575">
        <v>1</v>
      </c>
      <c r="Q54" s="575"/>
      <c r="R54" s="575"/>
      <c r="S54" s="575"/>
      <c r="T54" s="575"/>
      <c r="U54" s="575"/>
      <c r="V54" s="575"/>
      <c r="W54" s="575"/>
      <c r="X54" s="575"/>
      <c r="Y54" s="575"/>
      <c r="Z54" s="575"/>
      <c r="AA54" s="1207">
        <f t="shared" si="4"/>
        <v>2</v>
      </c>
    </row>
    <row r="55" spans="1:50" ht="15" customHeight="1" thickBot="1">
      <c r="A55" s="2079"/>
      <c r="B55" s="1810" t="s">
        <v>197</v>
      </c>
      <c r="C55" s="1811">
        <f t="shared" ref="C55:AA55" si="5">SUM(C46:C54)</f>
        <v>0</v>
      </c>
      <c r="D55" s="1811">
        <f t="shared" si="5"/>
        <v>0</v>
      </c>
      <c r="E55" s="1811"/>
      <c r="F55" s="1811">
        <f t="shared" si="5"/>
        <v>0</v>
      </c>
      <c r="G55" s="1811">
        <f t="shared" si="5"/>
        <v>1</v>
      </c>
      <c r="H55" s="1811">
        <f t="shared" si="5"/>
        <v>0</v>
      </c>
      <c r="I55" s="1811">
        <f t="shared" si="5"/>
        <v>1</v>
      </c>
      <c r="J55" s="1811">
        <f t="shared" si="5"/>
        <v>1</v>
      </c>
      <c r="K55" s="1811">
        <f t="shared" si="5"/>
        <v>0</v>
      </c>
      <c r="L55" s="1811">
        <f t="shared" si="5"/>
        <v>0</v>
      </c>
      <c r="M55" s="1811">
        <f t="shared" si="5"/>
        <v>0</v>
      </c>
      <c r="N55" s="1811">
        <f t="shared" si="5"/>
        <v>0</v>
      </c>
      <c r="O55" s="1811">
        <f t="shared" si="5"/>
        <v>1</v>
      </c>
      <c r="P55" s="1811">
        <f t="shared" si="5"/>
        <v>1</v>
      </c>
      <c r="Q55" s="1811">
        <f t="shared" si="5"/>
        <v>0</v>
      </c>
      <c r="R55" s="1811">
        <f t="shared" si="5"/>
        <v>0</v>
      </c>
      <c r="S55" s="1811">
        <f t="shared" si="5"/>
        <v>3</v>
      </c>
      <c r="T55" s="1811">
        <f t="shared" si="5"/>
        <v>0</v>
      </c>
      <c r="U55" s="1811">
        <f t="shared" si="5"/>
        <v>0</v>
      </c>
      <c r="V55" s="1811">
        <f t="shared" si="5"/>
        <v>1</v>
      </c>
      <c r="W55" s="1811">
        <f t="shared" si="5"/>
        <v>1</v>
      </c>
      <c r="X55" s="1811">
        <f t="shared" si="5"/>
        <v>0</v>
      </c>
      <c r="Y55" s="1811">
        <f t="shared" si="5"/>
        <v>1</v>
      </c>
      <c r="Z55" s="1811">
        <f t="shared" si="5"/>
        <v>2</v>
      </c>
      <c r="AA55" s="1812">
        <f t="shared" si="5"/>
        <v>13</v>
      </c>
    </row>
    <row r="56" spans="1:50" ht="12">
      <c r="A56" s="458" t="str">
        <f>'fiche technique'!A14</f>
        <v>Source: GALAXIE (ANTEE), DGRH A1-1 &amp; DGRH A2, juin 2014</v>
      </c>
    </row>
    <row r="57" spans="1:50" ht="12">
      <c r="A57" s="458" t="s">
        <v>237</v>
      </c>
    </row>
  </sheetData>
  <mergeCells count="3">
    <mergeCell ref="A9:A28"/>
    <mergeCell ref="A29:A45"/>
    <mergeCell ref="A46:A55"/>
  </mergeCells>
  <printOptions horizontalCentered="1"/>
  <pageMargins left="0.39370078740157483" right="0.39370078740157483" top="0.59055118110236227" bottom="0.19685039370078741" header="0.31496062992125984" footer="0.31496062992125984"/>
  <pageSetup paperSize="9" scale="77" orientation="portrait" r:id="rId1"/>
  <headerFooter alignWithMargins="0">
    <oddHeader>&amp;LDGRH A1-1</oddHeader>
    <oddFooter>&amp;CPage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AE66"/>
  <sheetViews>
    <sheetView showZeros="0" showWhiteSpace="0" topLeftCell="A28" zoomScaleNormal="100" workbookViewId="0">
      <selection activeCell="L18" sqref="L18"/>
    </sheetView>
  </sheetViews>
  <sheetFormatPr baseColWidth="10" defaultColWidth="11.44140625" defaultRowHeight="11.4"/>
  <cols>
    <col min="1" max="1" width="5.109375" style="4" customWidth="1"/>
    <col min="2" max="2" width="21.109375" style="4" customWidth="1"/>
    <col min="3" max="26" width="3.33203125" style="4" customWidth="1"/>
    <col min="27" max="27" width="3.109375" style="4" customWidth="1"/>
    <col min="28" max="28" width="3.6640625" style="4" customWidth="1"/>
    <col min="29" max="16384" width="11.44140625" style="4"/>
  </cols>
  <sheetData>
    <row r="1" spans="1:28" ht="15" customHeight="1"/>
    <row r="2" spans="1:28" ht="24" customHeight="1">
      <c r="A2" s="2082" t="s">
        <v>713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  <c r="L2" s="2082"/>
      <c r="M2" s="2082"/>
      <c r="N2" s="2082"/>
      <c r="O2" s="2082"/>
      <c r="P2" s="2082"/>
      <c r="Q2" s="2082"/>
      <c r="R2" s="2082"/>
      <c r="S2" s="2082"/>
      <c r="T2" s="2082"/>
      <c r="U2" s="2082"/>
      <c r="V2" s="2082"/>
      <c r="W2" s="2082"/>
      <c r="X2" s="2082"/>
      <c r="Y2" s="2082"/>
      <c r="Z2" s="2082"/>
      <c r="AA2" s="2083"/>
      <c r="AB2" s="2083"/>
    </row>
    <row r="3" spans="1:28" ht="15" customHeight="1"/>
    <row r="4" spans="1:28" ht="18.75" customHeight="1">
      <c r="A4" s="2084" t="s">
        <v>198</v>
      </c>
      <c r="B4" s="2084"/>
      <c r="C4" s="2084"/>
      <c r="D4" s="2084"/>
      <c r="E4" s="2084"/>
      <c r="F4" s="2084"/>
      <c r="G4" s="2084"/>
      <c r="H4" s="2084"/>
      <c r="I4" s="2084"/>
      <c r="J4" s="2084"/>
      <c r="K4" s="2084"/>
      <c r="L4" s="2084"/>
      <c r="M4" s="2084"/>
      <c r="N4" s="2084"/>
      <c r="O4" s="2084"/>
      <c r="P4" s="2084"/>
      <c r="Q4" s="2084"/>
      <c r="R4" s="2084"/>
      <c r="S4" s="2084"/>
      <c r="T4" s="2084"/>
      <c r="U4" s="2084"/>
      <c r="V4" s="2084"/>
      <c r="W4" s="2084"/>
      <c r="X4" s="2084"/>
      <c r="Y4" s="2084"/>
      <c r="Z4" s="2084"/>
    </row>
    <row r="5" spans="1:28" ht="18.75" customHeight="1">
      <c r="A5" s="2084" t="s">
        <v>993</v>
      </c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  <c r="P5" s="2084"/>
      <c r="Q5" s="2084"/>
      <c r="R5" s="2084"/>
      <c r="S5" s="2084"/>
      <c r="T5" s="2084"/>
      <c r="U5" s="2084"/>
      <c r="V5" s="2084"/>
      <c r="W5" s="2084"/>
      <c r="X5" s="2084"/>
      <c r="Y5" s="2084"/>
      <c r="Z5" s="2084"/>
    </row>
    <row r="6" spans="1:28" ht="18.75" customHeight="1">
      <c r="A6" s="2085" t="s">
        <v>242</v>
      </c>
      <c r="B6" s="2085"/>
      <c r="C6" s="2085"/>
      <c r="D6" s="2085"/>
      <c r="E6" s="2085"/>
      <c r="F6" s="2085"/>
      <c r="G6" s="2085"/>
      <c r="H6" s="2085"/>
      <c r="I6" s="2085"/>
      <c r="J6" s="2085"/>
      <c r="K6" s="2085"/>
      <c r="L6" s="2085"/>
      <c r="M6" s="2085"/>
      <c r="N6" s="2085"/>
      <c r="O6" s="2085"/>
      <c r="P6" s="2085"/>
      <c r="Q6" s="2085"/>
      <c r="R6" s="2085"/>
      <c r="S6" s="2085"/>
      <c r="T6" s="2085"/>
      <c r="U6" s="2085"/>
      <c r="V6" s="2085"/>
      <c r="W6" s="2085"/>
      <c r="X6" s="2085"/>
      <c r="Y6" s="2085"/>
      <c r="Z6" s="2085"/>
    </row>
    <row r="7" spans="1:28" ht="15" customHeight="1" thickBot="1"/>
    <row r="8" spans="1:28" s="410" customFormat="1" ht="109.8" thickBot="1">
      <c r="B8" s="1268" t="s">
        <v>262</v>
      </c>
      <c r="C8" s="1269" t="s">
        <v>169</v>
      </c>
      <c r="D8" s="1269" t="s">
        <v>170</v>
      </c>
      <c r="E8" s="1269" t="s">
        <v>171</v>
      </c>
      <c r="F8" s="1269" t="s">
        <v>172</v>
      </c>
      <c r="G8" s="1269" t="s">
        <v>173</v>
      </c>
      <c r="H8" s="1269" t="s">
        <v>203</v>
      </c>
      <c r="I8" s="1269" t="s">
        <v>174</v>
      </c>
      <c r="J8" s="1269" t="s">
        <v>175</v>
      </c>
      <c r="K8" s="1269" t="s">
        <v>176</v>
      </c>
      <c r="L8" s="1269" t="s">
        <v>177</v>
      </c>
      <c r="M8" s="1269" t="s">
        <v>178</v>
      </c>
      <c r="N8" s="1269" t="s">
        <v>179</v>
      </c>
      <c r="O8" s="1269" t="s">
        <v>180</v>
      </c>
      <c r="P8" s="1269" t="s">
        <v>181</v>
      </c>
      <c r="Q8" s="1269" t="s">
        <v>182</v>
      </c>
      <c r="R8" s="1269" t="s">
        <v>183</v>
      </c>
      <c r="S8" s="1269" t="s">
        <v>184</v>
      </c>
      <c r="T8" s="1269" t="s">
        <v>185</v>
      </c>
      <c r="U8" s="1269" t="s">
        <v>186</v>
      </c>
      <c r="V8" s="1269" t="s">
        <v>187</v>
      </c>
      <c r="W8" s="1269" t="s">
        <v>188</v>
      </c>
      <c r="X8" s="1269" t="s">
        <v>189</v>
      </c>
      <c r="Y8" s="1269" t="s">
        <v>190</v>
      </c>
      <c r="Z8" s="1269" t="s">
        <v>191</v>
      </c>
      <c r="AA8" s="1269" t="s">
        <v>192</v>
      </c>
      <c r="AB8" s="1270" t="s">
        <v>382</v>
      </c>
    </row>
    <row r="9" spans="1:28" ht="15" customHeight="1">
      <c r="A9" s="2086" t="s">
        <v>193</v>
      </c>
      <c r="B9" s="1271" t="s">
        <v>169</v>
      </c>
      <c r="C9" s="1272"/>
      <c r="D9" s="1272"/>
      <c r="E9" s="1272"/>
      <c r="F9" s="1272"/>
      <c r="G9" s="1272"/>
      <c r="H9" s="1272"/>
      <c r="I9" s="1272"/>
      <c r="J9" s="1272"/>
      <c r="K9" s="1272"/>
      <c r="L9" s="1272">
        <v>1</v>
      </c>
      <c r="M9" s="1272"/>
      <c r="N9" s="1272"/>
      <c r="O9" s="1272"/>
      <c r="P9" s="1272"/>
      <c r="Q9" s="1272">
        <v>1</v>
      </c>
      <c r="R9" s="1272"/>
      <c r="S9" s="1272"/>
      <c r="T9" s="1272"/>
      <c r="U9" s="1272"/>
      <c r="V9" s="1272"/>
      <c r="W9" s="1272"/>
      <c r="X9" s="1272"/>
      <c r="Y9" s="1272"/>
      <c r="Z9" s="1272"/>
      <c r="AA9" s="1272"/>
      <c r="AB9" s="925">
        <f>SUM(C9:AA9)</f>
        <v>2</v>
      </c>
    </row>
    <row r="10" spans="1:28" ht="15" customHeight="1">
      <c r="A10" s="2076"/>
      <c r="B10" s="1273" t="s">
        <v>170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>
        <v>1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926">
        <f t="shared" ref="AB10:AB28" si="0">SUM(C10:AA10)</f>
        <v>1</v>
      </c>
    </row>
    <row r="11" spans="1:28" ht="15" customHeight="1">
      <c r="A11" s="2076"/>
      <c r="B11" s="1273" t="s">
        <v>171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>
        <v>1</v>
      </c>
      <c r="Q11" s="186"/>
      <c r="R11" s="186"/>
      <c r="S11" s="186"/>
      <c r="T11" s="186"/>
      <c r="U11" s="186"/>
      <c r="V11" s="186"/>
      <c r="W11" s="186"/>
      <c r="X11" s="186"/>
      <c r="Y11" s="186"/>
      <c r="Z11" s="186"/>
      <c r="AA11" s="186"/>
      <c r="AB11" s="926">
        <f t="shared" si="0"/>
        <v>1</v>
      </c>
    </row>
    <row r="12" spans="1:28" ht="15" customHeight="1">
      <c r="A12" s="2076"/>
      <c r="B12" s="1273" t="s">
        <v>172</v>
      </c>
      <c r="C12" s="186"/>
      <c r="D12" s="186"/>
      <c r="E12" s="186"/>
      <c r="F12" s="186">
        <v>2</v>
      </c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>
        <v>1</v>
      </c>
      <c r="AB12" s="926">
        <f t="shared" si="0"/>
        <v>3</v>
      </c>
    </row>
    <row r="13" spans="1:28" ht="15" customHeight="1">
      <c r="A13" s="2076"/>
      <c r="B13" s="1273" t="s">
        <v>175</v>
      </c>
      <c r="C13" s="186"/>
      <c r="D13" s="186"/>
      <c r="E13" s="186"/>
      <c r="F13" s="186"/>
      <c r="G13" s="186"/>
      <c r="H13" s="186">
        <v>1</v>
      </c>
      <c r="I13" s="186"/>
      <c r="J13" s="186">
        <v>1</v>
      </c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926">
        <f t="shared" si="0"/>
        <v>2</v>
      </c>
    </row>
    <row r="14" spans="1:28" ht="15" customHeight="1">
      <c r="A14" s="2076"/>
      <c r="B14" s="184" t="s">
        <v>176</v>
      </c>
      <c r="C14" s="184"/>
      <c r="D14" s="184"/>
      <c r="E14" s="184"/>
      <c r="F14" s="184"/>
      <c r="G14" s="184"/>
      <c r="H14" s="184"/>
      <c r="I14" s="184"/>
      <c r="J14" s="184"/>
      <c r="K14" s="184">
        <v>3</v>
      </c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4"/>
      <c r="W14" s="184"/>
      <c r="X14" s="184"/>
      <c r="Y14" s="184"/>
      <c r="Z14" s="184"/>
      <c r="AA14" s="184"/>
      <c r="AB14" s="1567">
        <f t="shared" si="0"/>
        <v>3</v>
      </c>
    </row>
    <row r="15" spans="1:28" ht="15" customHeight="1">
      <c r="A15" s="2076"/>
      <c r="B15" s="1273" t="s">
        <v>177</v>
      </c>
      <c r="C15" s="186"/>
      <c r="D15" s="186"/>
      <c r="E15" s="186"/>
      <c r="F15" s="186"/>
      <c r="G15" s="186"/>
      <c r="H15" s="186"/>
      <c r="I15" s="186">
        <v>1</v>
      </c>
      <c r="J15" s="186"/>
      <c r="K15" s="186"/>
      <c r="L15" s="186"/>
      <c r="M15" s="186"/>
      <c r="N15" s="186"/>
      <c r="O15" s="186"/>
      <c r="P15" s="186"/>
      <c r="Q15" s="186"/>
      <c r="R15" s="186">
        <v>1</v>
      </c>
      <c r="S15" s="186"/>
      <c r="T15" s="186"/>
      <c r="U15" s="186"/>
      <c r="V15" s="186"/>
      <c r="W15" s="186"/>
      <c r="X15" s="186"/>
      <c r="Y15" s="186"/>
      <c r="Z15" s="186"/>
      <c r="AA15" s="186"/>
      <c r="AB15" s="926">
        <f t="shared" si="0"/>
        <v>2</v>
      </c>
    </row>
    <row r="16" spans="1:28" ht="15" customHeight="1">
      <c r="A16" s="2076"/>
      <c r="B16" s="1273" t="s">
        <v>178</v>
      </c>
      <c r="C16" s="186"/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  <c r="R16" s="186"/>
      <c r="S16" s="186">
        <v>1</v>
      </c>
      <c r="T16" s="186"/>
      <c r="U16" s="186"/>
      <c r="V16" s="186"/>
      <c r="W16" s="186"/>
      <c r="X16" s="186"/>
      <c r="Y16" s="186"/>
      <c r="Z16" s="186"/>
      <c r="AA16" s="186"/>
      <c r="AB16" s="926">
        <f t="shared" si="0"/>
        <v>1</v>
      </c>
    </row>
    <row r="17" spans="1:28" ht="15" customHeight="1">
      <c r="A17" s="2076"/>
      <c r="B17" s="1273" t="s">
        <v>179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>
        <v>3</v>
      </c>
      <c r="O17" s="186"/>
      <c r="P17" s="186"/>
      <c r="Q17" s="186"/>
      <c r="R17" s="186">
        <v>1</v>
      </c>
      <c r="S17" s="186"/>
      <c r="T17" s="186"/>
      <c r="U17" s="186"/>
      <c r="V17" s="186"/>
      <c r="W17" s="186"/>
      <c r="X17" s="186"/>
      <c r="Y17" s="186">
        <v>1</v>
      </c>
      <c r="Z17" s="186"/>
      <c r="AA17" s="186"/>
      <c r="AB17" s="926">
        <f t="shared" si="0"/>
        <v>5</v>
      </c>
    </row>
    <row r="18" spans="1:28" ht="15" customHeight="1">
      <c r="A18" s="2076"/>
      <c r="B18" s="1273" t="s">
        <v>180</v>
      </c>
      <c r="C18" s="186">
        <v>1</v>
      </c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>
        <v>1</v>
      </c>
      <c r="P18" s="186"/>
      <c r="Q18" s="186"/>
      <c r="R18" s="186"/>
      <c r="S18" s="186"/>
      <c r="T18" s="186"/>
      <c r="U18" s="186"/>
      <c r="V18" s="186"/>
      <c r="W18" s="186"/>
      <c r="X18" s="186"/>
      <c r="Y18" s="186">
        <v>1</v>
      </c>
      <c r="Z18" s="186"/>
      <c r="AA18" s="186"/>
      <c r="AB18" s="926">
        <f t="shared" si="0"/>
        <v>3</v>
      </c>
    </row>
    <row r="19" spans="1:28" ht="15" customHeight="1">
      <c r="A19" s="2076"/>
      <c r="B19" s="1273" t="s">
        <v>181</v>
      </c>
      <c r="C19" s="186"/>
      <c r="D19" s="186"/>
      <c r="E19" s="186">
        <v>1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>
        <v>2</v>
      </c>
      <c r="Q19" s="186"/>
      <c r="R19" s="186"/>
      <c r="S19" s="186"/>
      <c r="T19" s="186"/>
      <c r="U19" s="186"/>
      <c r="V19" s="186"/>
      <c r="W19" s="186"/>
      <c r="X19" s="186"/>
      <c r="Y19" s="186">
        <v>1</v>
      </c>
      <c r="Z19" s="186"/>
      <c r="AA19" s="186"/>
      <c r="AB19" s="926">
        <f t="shared" si="0"/>
        <v>4</v>
      </c>
    </row>
    <row r="20" spans="1:28" ht="15" customHeight="1">
      <c r="A20" s="2076"/>
      <c r="B20" s="1273" t="s">
        <v>182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>
        <v>1</v>
      </c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>
        <v>1</v>
      </c>
      <c r="X20" s="186"/>
      <c r="Y20" s="186"/>
      <c r="Z20" s="186"/>
      <c r="AA20" s="186"/>
      <c r="AB20" s="926">
        <f t="shared" si="0"/>
        <v>2</v>
      </c>
    </row>
    <row r="21" spans="1:28" ht="15" customHeight="1">
      <c r="A21" s="2076"/>
      <c r="B21" s="1273" t="s">
        <v>183</v>
      </c>
      <c r="C21" s="186"/>
      <c r="D21" s="186"/>
      <c r="E21" s="186"/>
      <c r="F21" s="186"/>
      <c r="G21" s="186"/>
      <c r="H21" s="186"/>
      <c r="I21" s="186"/>
      <c r="J21" s="186"/>
      <c r="K21" s="186">
        <v>1</v>
      </c>
      <c r="L21" s="186"/>
      <c r="M21" s="186"/>
      <c r="N21" s="186"/>
      <c r="O21" s="186"/>
      <c r="P21" s="186"/>
      <c r="Q21" s="186"/>
      <c r="R21" s="186"/>
      <c r="S21" s="186"/>
      <c r="T21" s="186">
        <v>1</v>
      </c>
      <c r="U21" s="186"/>
      <c r="V21" s="186"/>
      <c r="W21" s="186"/>
      <c r="X21" s="186"/>
      <c r="Y21" s="186"/>
      <c r="Z21" s="186"/>
      <c r="AA21" s="186"/>
      <c r="AB21" s="926">
        <f t="shared" si="0"/>
        <v>2</v>
      </c>
    </row>
    <row r="22" spans="1:28" ht="15" customHeight="1">
      <c r="A22" s="2076"/>
      <c r="B22" s="1273" t="s">
        <v>366</v>
      </c>
      <c r="C22" s="186"/>
      <c r="D22" s="186"/>
      <c r="E22" s="186"/>
      <c r="F22" s="186"/>
      <c r="G22" s="186"/>
      <c r="H22" s="186"/>
      <c r="I22" s="186"/>
      <c r="J22" s="186"/>
      <c r="K22" s="186"/>
      <c r="L22" s="186">
        <v>1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B22" s="926">
        <f t="shared" si="0"/>
        <v>1</v>
      </c>
    </row>
    <row r="23" spans="1:28" ht="15" customHeight="1">
      <c r="A23" s="2076"/>
      <c r="B23" s="185" t="s">
        <v>185</v>
      </c>
      <c r="C23" s="185"/>
      <c r="D23" s="185"/>
      <c r="E23" s="185">
        <v>1</v>
      </c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>
        <v>1</v>
      </c>
      <c r="U23" s="185"/>
      <c r="V23" s="185"/>
      <c r="W23" s="185"/>
      <c r="X23" s="185">
        <v>1</v>
      </c>
      <c r="Y23" s="185"/>
      <c r="Z23" s="185">
        <v>1</v>
      </c>
      <c r="AA23" s="185">
        <v>2</v>
      </c>
      <c r="AB23" s="1567">
        <f t="shared" si="0"/>
        <v>6</v>
      </c>
    </row>
    <row r="24" spans="1:28" ht="15" customHeight="1">
      <c r="A24" s="2076"/>
      <c r="B24" s="1273" t="s">
        <v>188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>
        <v>1</v>
      </c>
      <c r="R24" s="186"/>
      <c r="S24" s="186"/>
      <c r="T24" s="186"/>
      <c r="U24" s="186"/>
      <c r="V24" s="186">
        <v>1</v>
      </c>
      <c r="W24" s="186">
        <v>1</v>
      </c>
      <c r="X24" s="186"/>
      <c r="Y24" s="186"/>
      <c r="Z24" s="186"/>
      <c r="AA24" s="186"/>
      <c r="AB24" s="926">
        <f t="shared" si="0"/>
        <v>3</v>
      </c>
    </row>
    <row r="25" spans="1:28" ht="15" customHeight="1">
      <c r="A25" s="2076"/>
      <c r="B25" s="1273" t="s">
        <v>189</v>
      </c>
      <c r="C25" s="186">
        <v>1</v>
      </c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926">
        <f t="shared" si="0"/>
        <v>1</v>
      </c>
    </row>
    <row r="26" spans="1:28" ht="15" customHeight="1">
      <c r="A26" s="2076"/>
      <c r="B26" s="1273" t="s">
        <v>190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>
        <v>1</v>
      </c>
      <c r="P26" s="186"/>
      <c r="Q26" s="186"/>
      <c r="R26" s="186"/>
      <c r="S26" s="186">
        <v>1</v>
      </c>
      <c r="T26" s="186"/>
      <c r="U26" s="186">
        <v>1</v>
      </c>
      <c r="V26" s="186"/>
      <c r="W26" s="186"/>
      <c r="X26" s="186"/>
      <c r="Y26" s="186"/>
      <c r="Z26" s="186"/>
      <c r="AA26" s="186"/>
      <c r="AB26" s="926">
        <f t="shared" si="0"/>
        <v>3</v>
      </c>
    </row>
    <row r="27" spans="1:28" ht="15" customHeight="1">
      <c r="A27" s="2076"/>
      <c r="B27" s="1273" t="s">
        <v>191</v>
      </c>
      <c r="C27" s="186"/>
      <c r="D27" s="186"/>
      <c r="E27" s="186"/>
      <c r="F27" s="186">
        <v>1</v>
      </c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>
        <v>1</v>
      </c>
      <c r="AB27" s="926">
        <f t="shared" si="0"/>
        <v>2</v>
      </c>
    </row>
    <row r="28" spans="1:28" ht="15" customHeight="1">
      <c r="A28" s="2076"/>
      <c r="B28" s="185" t="s">
        <v>192</v>
      </c>
      <c r="C28" s="185"/>
      <c r="D28" s="185"/>
      <c r="E28" s="185"/>
      <c r="F28" s="185">
        <v>2</v>
      </c>
      <c r="G28" s="185"/>
      <c r="H28" s="185"/>
      <c r="I28" s="185"/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>
        <v>1</v>
      </c>
      <c r="U28" s="185"/>
      <c r="V28" s="185"/>
      <c r="W28" s="185"/>
      <c r="X28" s="185"/>
      <c r="Y28" s="185"/>
      <c r="Z28" s="185"/>
      <c r="AA28" s="185">
        <v>2</v>
      </c>
      <c r="AB28" s="1567">
        <f t="shared" si="0"/>
        <v>5</v>
      </c>
    </row>
    <row r="29" spans="1:28" ht="15" customHeight="1">
      <c r="A29" s="2077"/>
      <c r="B29" s="1148" t="s">
        <v>147</v>
      </c>
      <c r="C29" s="1148">
        <f>SUM(C9:C28)</f>
        <v>2</v>
      </c>
      <c r="D29" s="1148">
        <f t="shared" ref="D29:AA29" si="1">SUM(D9:D28)</f>
        <v>0</v>
      </c>
      <c r="E29" s="1148">
        <f>SUM(E9:E28)</f>
        <v>2</v>
      </c>
      <c r="F29" s="1148">
        <f>SUM(F9:F28)</f>
        <v>5</v>
      </c>
      <c r="G29" s="1148">
        <f t="shared" si="1"/>
        <v>0</v>
      </c>
      <c r="H29" s="1148">
        <f t="shared" si="1"/>
        <v>1</v>
      </c>
      <c r="I29" s="1148">
        <f t="shared" si="1"/>
        <v>1</v>
      </c>
      <c r="J29" s="1148">
        <f t="shared" si="1"/>
        <v>1</v>
      </c>
      <c r="K29" s="1148">
        <f t="shared" si="1"/>
        <v>4</v>
      </c>
      <c r="L29" s="1148">
        <f t="shared" si="1"/>
        <v>4</v>
      </c>
      <c r="M29" s="1148">
        <f t="shared" si="1"/>
        <v>0</v>
      </c>
      <c r="N29" s="1148">
        <f t="shared" si="1"/>
        <v>3</v>
      </c>
      <c r="O29" s="1148">
        <f t="shared" si="1"/>
        <v>2</v>
      </c>
      <c r="P29" s="1148">
        <f t="shared" si="1"/>
        <v>3</v>
      </c>
      <c r="Q29" s="1148">
        <f t="shared" si="1"/>
        <v>2</v>
      </c>
      <c r="R29" s="1148">
        <f t="shared" si="1"/>
        <v>2</v>
      </c>
      <c r="S29" s="1148">
        <f t="shared" si="1"/>
        <v>2</v>
      </c>
      <c r="T29" s="1148">
        <f t="shared" si="1"/>
        <v>3</v>
      </c>
      <c r="U29" s="1148">
        <f t="shared" si="1"/>
        <v>1</v>
      </c>
      <c r="V29" s="1148">
        <f t="shared" si="1"/>
        <v>1</v>
      </c>
      <c r="W29" s="1148">
        <f t="shared" si="1"/>
        <v>2</v>
      </c>
      <c r="X29" s="1148">
        <f t="shared" si="1"/>
        <v>1</v>
      </c>
      <c r="Y29" s="1148">
        <f t="shared" si="1"/>
        <v>3</v>
      </c>
      <c r="Z29" s="1148">
        <f t="shared" si="1"/>
        <v>1</v>
      </c>
      <c r="AA29" s="1148">
        <f t="shared" si="1"/>
        <v>6</v>
      </c>
      <c r="AB29" s="1150">
        <f>SUM(AB9:AB28)</f>
        <v>52</v>
      </c>
    </row>
    <row r="30" spans="1:28" ht="15" customHeight="1">
      <c r="A30" s="2078" t="s">
        <v>194</v>
      </c>
      <c r="B30" s="1271" t="s">
        <v>169</v>
      </c>
      <c r="C30" s="1272"/>
      <c r="D30" s="1272"/>
      <c r="E30" s="1272"/>
      <c r="F30" s="1272"/>
      <c r="G30" s="1272"/>
      <c r="H30" s="1272"/>
      <c r="I30" s="1272">
        <v>1</v>
      </c>
      <c r="J30" s="1272"/>
      <c r="K30" s="1272"/>
      <c r="L30" s="1272"/>
      <c r="M30" s="1272"/>
      <c r="N30" s="1272"/>
      <c r="O30" s="1272"/>
      <c r="P30" s="1272"/>
      <c r="Q30" s="1272"/>
      <c r="R30" s="1272"/>
      <c r="S30" s="1272"/>
      <c r="T30" s="1272"/>
      <c r="U30" s="1272"/>
      <c r="V30" s="1272"/>
      <c r="W30" s="1272"/>
      <c r="X30" s="1272"/>
      <c r="Y30" s="1272"/>
      <c r="Z30" s="1272"/>
      <c r="AA30" s="1272"/>
      <c r="AB30" s="926">
        <f>SUM(C30:AA30)</f>
        <v>1</v>
      </c>
    </row>
    <row r="31" spans="1:28" ht="15" customHeight="1">
      <c r="A31" s="2076"/>
      <c r="B31" s="1273" t="s">
        <v>171</v>
      </c>
      <c r="C31" s="186"/>
      <c r="D31" s="186"/>
      <c r="E31" s="186"/>
      <c r="F31" s="186"/>
      <c r="G31" s="186"/>
      <c r="H31" s="186"/>
      <c r="I31" s="186"/>
      <c r="J31" s="186"/>
      <c r="K31" s="186"/>
      <c r="L31" s="186">
        <v>1</v>
      </c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B31" s="926">
        <f t="shared" ref="AB31:AB51" si="2">SUM(C31:AA31)</f>
        <v>1</v>
      </c>
    </row>
    <row r="32" spans="1:28" ht="15" customHeight="1">
      <c r="A32" s="2076"/>
      <c r="B32" s="1273" t="s">
        <v>172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>
        <v>1</v>
      </c>
      <c r="W32" s="186"/>
      <c r="X32" s="186"/>
      <c r="Y32" s="186"/>
      <c r="Z32" s="186"/>
      <c r="AA32" s="186"/>
      <c r="AB32" s="926">
        <f t="shared" si="2"/>
        <v>1</v>
      </c>
    </row>
    <row r="33" spans="1:28" ht="15" customHeight="1">
      <c r="A33" s="2076"/>
      <c r="B33" s="184" t="s">
        <v>173</v>
      </c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4"/>
      <c r="S33" s="184"/>
      <c r="T33" s="184"/>
      <c r="U33" s="184"/>
      <c r="V33" s="184"/>
      <c r="W33" s="184"/>
      <c r="X33" s="184"/>
      <c r="Y33" s="184">
        <v>1</v>
      </c>
      <c r="Z33" s="184"/>
      <c r="AA33" s="184"/>
      <c r="AB33" s="1567">
        <f t="shared" si="2"/>
        <v>1</v>
      </c>
    </row>
    <row r="34" spans="1:28" ht="15" customHeight="1">
      <c r="A34" s="2076"/>
      <c r="B34" s="1273" t="s">
        <v>203</v>
      </c>
      <c r="C34" s="186"/>
      <c r="D34" s="186"/>
      <c r="E34" s="186"/>
      <c r="F34" s="186"/>
      <c r="G34" s="186"/>
      <c r="H34" s="186"/>
      <c r="I34" s="186"/>
      <c r="J34" s="186"/>
      <c r="K34" s="186"/>
      <c r="L34" s="186">
        <v>1</v>
      </c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  <c r="AA34" s="186"/>
      <c r="AB34" s="926">
        <f t="shared" si="2"/>
        <v>1</v>
      </c>
    </row>
    <row r="35" spans="1:28" ht="15" customHeight="1">
      <c r="A35" s="2076"/>
      <c r="B35" s="1566" t="s">
        <v>174</v>
      </c>
      <c r="C35" s="1562"/>
      <c r="D35" s="1562">
        <v>1</v>
      </c>
      <c r="E35" s="1562"/>
      <c r="F35" s="1562"/>
      <c r="G35" s="1562"/>
      <c r="H35" s="1562"/>
      <c r="I35" s="1562"/>
      <c r="J35" s="1562"/>
      <c r="K35" s="1562"/>
      <c r="L35" s="1562">
        <v>2</v>
      </c>
      <c r="M35" s="1562"/>
      <c r="N35" s="1562"/>
      <c r="O35" s="1562"/>
      <c r="P35" s="1562"/>
      <c r="Q35" s="1562"/>
      <c r="R35" s="1562"/>
      <c r="S35" s="1562">
        <v>1</v>
      </c>
      <c r="T35" s="1562"/>
      <c r="U35" s="1562"/>
      <c r="V35" s="1562"/>
      <c r="W35" s="1562">
        <v>1</v>
      </c>
      <c r="X35" s="1562"/>
      <c r="Y35" s="1562"/>
      <c r="Z35" s="1562"/>
      <c r="AA35" s="1562"/>
      <c r="AB35" s="1564">
        <f t="shared" si="2"/>
        <v>5</v>
      </c>
    </row>
    <row r="36" spans="1:28" ht="15" customHeight="1">
      <c r="A36" s="2076"/>
      <c r="B36" s="1273" t="s">
        <v>176</v>
      </c>
      <c r="C36" s="186"/>
      <c r="D36" s="186"/>
      <c r="E36" s="186"/>
      <c r="F36" s="186"/>
      <c r="G36" s="186"/>
      <c r="H36" s="186"/>
      <c r="I36" s="186"/>
      <c r="J36" s="186"/>
      <c r="K36" s="186"/>
      <c r="L36" s="186"/>
      <c r="M36" s="186"/>
      <c r="N36" s="186"/>
      <c r="O36" s="186"/>
      <c r="P36" s="186"/>
      <c r="Q36" s="186"/>
      <c r="R36" s="186"/>
      <c r="S36" s="186"/>
      <c r="T36" s="186">
        <v>1</v>
      </c>
      <c r="U36" s="186"/>
      <c r="V36" s="186"/>
      <c r="W36" s="186"/>
      <c r="X36" s="186"/>
      <c r="Y36" s="186"/>
      <c r="Z36" s="186"/>
      <c r="AA36" s="186">
        <v>1</v>
      </c>
      <c r="AB36" s="926">
        <f t="shared" si="2"/>
        <v>2</v>
      </c>
    </row>
    <row r="37" spans="1:28" ht="15" customHeight="1">
      <c r="A37" s="2076"/>
      <c r="B37" s="1273" t="s">
        <v>177</v>
      </c>
      <c r="C37" s="186"/>
      <c r="D37" s="186"/>
      <c r="E37" s="186"/>
      <c r="F37" s="186"/>
      <c r="G37" s="186"/>
      <c r="H37" s="186"/>
      <c r="I37" s="186"/>
      <c r="J37" s="186"/>
      <c r="K37" s="186"/>
      <c r="L37" s="186">
        <v>1</v>
      </c>
      <c r="M37" s="186"/>
      <c r="N37" s="186"/>
      <c r="O37" s="186"/>
      <c r="P37" s="186">
        <v>1</v>
      </c>
      <c r="Q37" s="186"/>
      <c r="R37" s="186"/>
      <c r="S37" s="186"/>
      <c r="T37" s="186"/>
      <c r="U37" s="186"/>
      <c r="V37" s="186"/>
      <c r="W37" s="186"/>
      <c r="X37" s="186"/>
      <c r="Y37" s="186"/>
      <c r="Z37" s="186"/>
      <c r="AA37" s="186"/>
      <c r="AB37" s="926">
        <f t="shared" si="2"/>
        <v>2</v>
      </c>
    </row>
    <row r="38" spans="1:28" ht="15" customHeight="1">
      <c r="A38" s="2076"/>
      <c r="B38" s="1273" t="s">
        <v>179</v>
      </c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>
        <v>1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926">
        <f t="shared" si="2"/>
        <v>1</v>
      </c>
    </row>
    <row r="39" spans="1:28" ht="15" customHeight="1">
      <c r="A39" s="2076"/>
      <c r="B39" s="1273" t="s">
        <v>180</v>
      </c>
      <c r="C39" s="186"/>
      <c r="D39" s="186"/>
      <c r="E39" s="186"/>
      <c r="F39" s="186"/>
      <c r="G39" s="186"/>
      <c r="H39" s="186"/>
      <c r="I39" s="186">
        <v>1</v>
      </c>
      <c r="J39" s="186"/>
      <c r="K39" s="186"/>
      <c r="L39" s="186"/>
      <c r="M39" s="186"/>
      <c r="N39" s="186">
        <v>1</v>
      </c>
      <c r="O39" s="186"/>
      <c r="P39" s="186"/>
      <c r="Q39" s="186"/>
      <c r="R39" s="186"/>
      <c r="S39" s="186"/>
      <c r="T39" s="186"/>
      <c r="U39" s="186"/>
      <c r="V39" s="186">
        <v>1</v>
      </c>
      <c r="W39" s="186"/>
      <c r="X39" s="186"/>
      <c r="Y39" s="186"/>
      <c r="Z39" s="186"/>
      <c r="AA39" s="186"/>
      <c r="AB39" s="926">
        <f t="shared" si="2"/>
        <v>3</v>
      </c>
    </row>
    <row r="40" spans="1:28" ht="15" customHeight="1">
      <c r="A40" s="2076"/>
      <c r="B40" s="1273" t="s">
        <v>182</v>
      </c>
      <c r="C40" s="186"/>
      <c r="D40" s="186"/>
      <c r="E40" s="186"/>
      <c r="F40" s="186"/>
      <c r="G40" s="186"/>
      <c r="H40" s="186"/>
      <c r="I40" s="186"/>
      <c r="J40" s="186"/>
      <c r="K40" s="186"/>
      <c r="L40" s="186">
        <v>1</v>
      </c>
      <c r="M40" s="186"/>
      <c r="N40" s="186"/>
      <c r="O40" s="186"/>
      <c r="P40" s="186"/>
      <c r="Q40" s="186"/>
      <c r="R40" s="186"/>
      <c r="S40" s="186"/>
      <c r="T40" s="186">
        <v>1</v>
      </c>
      <c r="U40" s="186"/>
      <c r="V40" s="186"/>
      <c r="W40" s="186"/>
      <c r="X40" s="186"/>
      <c r="Y40" s="186"/>
      <c r="Z40" s="186"/>
      <c r="AA40" s="186">
        <v>1</v>
      </c>
      <c r="AB40" s="926">
        <f t="shared" si="2"/>
        <v>3</v>
      </c>
    </row>
    <row r="41" spans="1:28" ht="15" customHeight="1">
      <c r="A41" s="2076"/>
      <c r="B41" s="1273" t="s">
        <v>183</v>
      </c>
      <c r="C41" s="186"/>
      <c r="D41" s="186"/>
      <c r="E41" s="186"/>
      <c r="F41" s="186"/>
      <c r="G41" s="186"/>
      <c r="H41" s="186"/>
      <c r="I41" s="186">
        <v>1</v>
      </c>
      <c r="J41" s="186"/>
      <c r="K41" s="186"/>
      <c r="L41" s="186"/>
      <c r="M41" s="186"/>
      <c r="N41" s="186"/>
      <c r="O41" s="186"/>
      <c r="P41" s="186"/>
      <c r="Q41" s="186"/>
      <c r="R41" s="186">
        <v>1</v>
      </c>
      <c r="S41" s="186"/>
      <c r="T41" s="186"/>
      <c r="U41" s="186"/>
      <c r="V41" s="186"/>
      <c r="W41" s="186"/>
      <c r="X41" s="186">
        <v>1</v>
      </c>
      <c r="Y41" s="186">
        <v>1</v>
      </c>
      <c r="Z41" s="186"/>
      <c r="AA41" s="186"/>
      <c r="AB41" s="926">
        <f t="shared" si="2"/>
        <v>4</v>
      </c>
    </row>
    <row r="42" spans="1:28" ht="15" customHeight="1">
      <c r="A42" s="2076"/>
      <c r="B42" s="1273" t="s">
        <v>184</v>
      </c>
      <c r="C42" s="186"/>
      <c r="D42" s="186"/>
      <c r="E42" s="186"/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  <c r="AA42" s="186">
        <v>1</v>
      </c>
      <c r="AB42" s="926">
        <f t="shared" si="2"/>
        <v>1</v>
      </c>
    </row>
    <row r="43" spans="1:28" ht="15" customHeight="1">
      <c r="A43" s="2076"/>
      <c r="B43" s="1566" t="s">
        <v>185</v>
      </c>
      <c r="C43" s="1562"/>
      <c r="D43" s="1562">
        <v>1</v>
      </c>
      <c r="E43" s="1562"/>
      <c r="F43" s="1562"/>
      <c r="G43" s="1562"/>
      <c r="H43" s="1562"/>
      <c r="I43" s="1562"/>
      <c r="J43" s="1562"/>
      <c r="K43" s="1562"/>
      <c r="L43" s="1562">
        <v>2</v>
      </c>
      <c r="M43" s="1562"/>
      <c r="N43" s="1562"/>
      <c r="O43" s="1562"/>
      <c r="P43" s="1562">
        <v>3</v>
      </c>
      <c r="Q43" s="1562">
        <v>2</v>
      </c>
      <c r="R43" s="1562">
        <v>1</v>
      </c>
      <c r="S43" s="1562"/>
      <c r="T43" s="1562">
        <v>1</v>
      </c>
      <c r="U43" s="1562"/>
      <c r="V43" s="1562"/>
      <c r="W43" s="1562"/>
      <c r="X43" s="1562"/>
      <c r="Y43" s="1562"/>
      <c r="Z43" s="1562">
        <v>1</v>
      </c>
      <c r="AA43" s="1562">
        <v>1</v>
      </c>
      <c r="AB43" s="1564">
        <f t="shared" si="2"/>
        <v>12</v>
      </c>
    </row>
    <row r="44" spans="1:28" ht="15" customHeight="1">
      <c r="A44" s="2076"/>
      <c r="B44" s="1273" t="s">
        <v>186</v>
      </c>
      <c r="C44" s="186"/>
      <c r="D44" s="186"/>
      <c r="E44" s="186"/>
      <c r="F44" s="186"/>
      <c r="G44" s="186"/>
      <c r="H44" s="186"/>
      <c r="I44" s="186">
        <v>1</v>
      </c>
      <c r="J44" s="186"/>
      <c r="K44" s="186"/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  <c r="AA44" s="186"/>
      <c r="AB44" s="926">
        <f t="shared" si="2"/>
        <v>1</v>
      </c>
    </row>
    <row r="45" spans="1:28" ht="15" customHeight="1">
      <c r="A45" s="2076"/>
      <c r="B45" s="1273" t="s">
        <v>187</v>
      </c>
      <c r="C45" s="186"/>
      <c r="D45" s="186"/>
      <c r="E45" s="186"/>
      <c r="F45" s="186"/>
      <c r="G45" s="186"/>
      <c r="H45" s="186"/>
      <c r="I45" s="186"/>
      <c r="J45" s="186"/>
      <c r="K45" s="186"/>
      <c r="L45" s="186"/>
      <c r="M45" s="186"/>
      <c r="N45" s="186"/>
      <c r="O45" s="186">
        <v>1</v>
      </c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B45" s="926">
        <f t="shared" si="2"/>
        <v>1</v>
      </c>
    </row>
    <row r="46" spans="1:28" ht="15" customHeight="1">
      <c r="A46" s="2076"/>
      <c r="B46" s="1273" t="s">
        <v>188</v>
      </c>
      <c r="C46" s="186"/>
      <c r="D46" s="186"/>
      <c r="E46" s="186"/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>
        <v>1</v>
      </c>
      <c r="W46" s="186">
        <v>1</v>
      </c>
      <c r="X46" s="186"/>
      <c r="Y46" s="186"/>
      <c r="Z46" s="186"/>
      <c r="AA46" s="186"/>
      <c r="AB46" s="926">
        <f t="shared" si="2"/>
        <v>2</v>
      </c>
    </row>
    <row r="47" spans="1:28" ht="15" customHeight="1">
      <c r="A47" s="2076"/>
      <c r="B47" s="184" t="s">
        <v>189</v>
      </c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4"/>
      <c r="O47" s="184"/>
      <c r="P47" s="184"/>
      <c r="Q47" s="184"/>
      <c r="R47" s="184"/>
      <c r="S47" s="184"/>
      <c r="T47" s="184"/>
      <c r="U47" s="184"/>
      <c r="V47" s="184"/>
      <c r="W47" s="184"/>
      <c r="X47" s="184"/>
      <c r="Y47" s="184"/>
      <c r="Z47" s="184"/>
      <c r="AA47" s="184">
        <v>1</v>
      </c>
      <c r="AB47" s="1567">
        <f t="shared" si="2"/>
        <v>1</v>
      </c>
    </row>
    <row r="48" spans="1:28" ht="15" customHeight="1">
      <c r="A48" s="2076"/>
      <c r="B48" s="1273" t="s">
        <v>190</v>
      </c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>
        <v>1</v>
      </c>
      <c r="Q48" s="186"/>
      <c r="R48" s="186"/>
      <c r="S48" s="186"/>
      <c r="T48" s="186"/>
      <c r="U48" s="186"/>
      <c r="V48" s="186"/>
      <c r="W48" s="186"/>
      <c r="X48" s="186"/>
      <c r="Y48" s="186"/>
      <c r="Z48" s="186"/>
      <c r="AA48" s="186">
        <v>1</v>
      </c>
      <c r="AB48" s="926">
        <f t="shared" si="2"/>
        <v>2</v>
      </c>
    </row>
    <row r="49" spans="1:31" ht="15" customHeight="1">
      <c r="A49" s="2076"/>
      <c r="B49" s="1273" t="s">
        <v>191</v>
      </c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  <c r="AA49" s="186">
        <v>1</v>
      </c>
      <c r="AB49" s="926">
        <f t="shared" si="2"/>
        <v>1</v>
      </c>
    </row>
    <row r="50" spans="1:31" ht="15" customHeight="1">
      <c r="A50" s="2077"/>
      <c r="B50" s="185" t="s">
        <v>192</v>
      </c>
      <c r="C50" s="185"/>
      <c r="D50" s="185"/>
      <c r="E50" s="185"/>
      <c r="F50" s="185"/>
      <c r="G50" s="185"/>
      <c r="H50" s="185"/>
      <c r="I50" s="185">
        <v>2</v>
      </c>
      <c r="J50" s="185">
        <v>1</v>
      </c>
      <c r="K50" s="185"/>
      <c r="L50" s="185"/>
      <c r="M50" s="185"/>
      <c r="N50" s="185"/>
      <c r="O50" s="185"/>
      <c r="P50" s="185"/>
      <c r="Q50" s="185"/>
      <c r="R50" s="185"/>
      <c r="S50" s="185">
        <v>1</v>
      </c>
      <c r="T50" s="185"/>
      <c r="U50" s="185"/>
      <c r="V50" s="185"/>
      <c r="W50" s="185"/>
      <c r="X50" s="185"/>
      <c r="Y50" s="185"/>
      <c r="Z50" s="185">
        <v>1</v>
      </c>
      <c r="AA50" s="185"/>
      <c r="AB50" s="1567">
        <f t="shared" si="2"/>
        <v>5</v>
      </c>
    </row>
    <row r="51" spans="1:31" ht="15" customHeight="1">
      <c r="A51" s="1867"/>
      <c r="B51" s="1148" t="s">
        <v>148</v>
      </c>
      <c r="C51" s="1148">
        <f>SUM(C30:C50)</f>
        <v>0</v>
      </c>
      <c r="D51" s="1148">
        <f t="shared" ref="D51:AA51" si="3">SUM(D30:D50)</f>
        <v>2</v>
      </c>
      <c r="E51" s="1148">
        <f t="shared" si="3"/>
        <v>0</v>
      </c>
      <c r="F51" s="1148">
        <f t="shared" si="3"/>
        <v>0</v>
      </c>
      <c r="G51" s="1148">
        <f t="shared" si="3"/>
        <v>0</v>
      </c>
      <c r="H51" s="1148">
        <f t="shared" si="3"/>
        <v>0</v>
      </c>
      <c r="I51" s="1148">
        <f t="shared" si="3"/>
        <v>6</v>
      </c>
      <c r="J51" s="1148">
        <f t="shared" si="3"/>
        <v>1</v>
      </c>
      <c r="K51" s="1148">
        <f t="shared" si="3"/>
        <v>0</v>
      </c>
      <c r="L51" s="1148">
        <f t="shared" si="3"/>
        <v>8</v>
      </c>
      <c r="M51" s="1148">
        <f t="shared" si="3"/>
        <v>0</v>
      </c>
      <c r="N51" s="1148">
        <f t="shared" si="3"/>
        <v>2</v>
      </c>
      <c r="O51" s="1148">
        <f t="shared" si="3"/>
        <v>1</v>
      </c>
      <c r="P51" s="1148">
        <f t="shared" si="3"/>
        <v>5</v>
      </c>
      <c r="Q51" s="1148">
        <f t="shared" si="3"/>
        <v>2</v>
      </c>
      <c r="R51" s="1148">
        <f t="shared" si="3"/>
        <v>2</v>
      </c>
      <c r="S51" s="1148">
        <f t="shared" si="3"/>
        <v>2</v>
      </c>
      <c r="T51" s="1148">
        <f t="shared" si="3"/>
        <v>3</v>
      </c>
      <c r="U51" s="1148">
        <f t="shared" si="3"/>
        <v>0</v>
      </c>
      <c r="V51" s="1148">
        <f t="shared" si="3"/>
        <v>3</v>
      </c>
      <c r="W51" s="1148">
        <f t="shared" si="3"/>
        <v>2</v>
      </c>
      <c r="X51" s="1148">
        <f t="shared" si="3"/>
        <v>1</v>
      </c>
      <c r="Y51" s="1148">
        <f t="shared" si="3"/>
        <v>2</v>
      </c>
      <c r="Z51" s="1148">
        <f t="shared" si="3"/>
        <v>2</v>
      </c>
      <c r="AA51" s="1148">
        <f t="shared" si="3"/>
        <v>7</v>
      </c>
      <c r="AB51" s="1568">
        <f t="shared" si="2"/>
        <v>51</v>
      </c>
    </row>
    <row r="52" spans="1:31" ht="15" customHeight="1">
      <c r="A52" s="2080" t="s">
        <v>707</v>
      </c>
      <c r="B52" s="1271" t="s">
        <v>169</v>
      </c>
      <c r="C52" s="1272"/>
      <c r="D52" s="1272"/>
      <c r="E52" s="1272"/>
      <c r="F52" s="1272"/>
      <c r="G52" s="1272"/>
      <c r="H52" s="1272"/>
      <c r="I52" s="1272"/>
      <c r="J52" s="1272"/>
      <c r="K52" s="1272"/>
      <c r="L52" s="1272"/>
      <c r="M52" s="1272"/>
      <c r="N52" s="1272"/>
      <c r="O52" s="1272"/>
      <c r="P52" s="1272"/>
      <c r="Q52" s="1272"/>
      <c r="R52" s="1272"/>
      <c r="S52" s="1272"/>
      <c r="T52" s="1272">
        <v>1</v>
      </c>
      <c r="U52" s="1272"/>
      <c r="V52" s="1272"/>
      <c r="W52" s="1272"/>
      <c r="X52" s="1272"/>
      <c r="Y52" s="1272"/>
      <c r="Z52" s="1272"/>
      <c r="AA52" s="1272"/>
      <c r="AB52" s="1564">
        <f>SUM(C52:AA52)</f>
        <v>1</v>
      </c>
    </row>
    <row r="53" spans="1:31" ht="15" customHeight="1">
      <c r="A53" s="2080"/>
      <c r="B53" s="1273" t="s">
        <v>172</v>
      </c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>
        <v>1</v>
      </c>
      <c r="AB53" s="1564">
        <f t="shared" ref="AB53:AB64" si="4">SUM(C53:AA53)</f>
        <v>1</v>
      </c>
    </row>
    <row r="54" spans="1:31" ht="15" customHeight="1">
      <c r="A54" s="2080"/>
      <c r="B54" s="1273" t="s">
        <v>176</v>
      </c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>
        <v>1</v>
      </c>
      <c r="O54" s="186">
        <v>1</v>
      </c>
      <c r="P54" s="186"/>
      <c r="Q54" s="186"/>
      <c r="R54" s="186"/>
      <c r="S54" s="186"/>
      <c r="T54" s="186"/>
      <c r="U54" s="186"/>
      <c r="V54" s="186"/>
      <c r="W54" s="186"/>
      <c r="X54" s="186"/>
      <c r="Y54" s="186"/>
      <c r="Z54" s="186"/>
      <c r="AA54" s="186"/>
      <c r="AB54" s="1564">
        <f t="shared" si="4"/>
        <v>2</v>
      </c>
    </row>
    <row r="55" spans="1:31" ht="15" customHeight="1">
      <c r="A55" s="2080"/>
      <c r="B55" s="1273" t="s">
        <v>177</v>
      </c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>
        <v>1</v>
      </c>
      <c r="O55" s="186"/>
      <c r="P55" s="186"/>
      <c r="Q55" s="186"/>
      <c r="R55" s="186"/>
      <c r="S55" s="186"/>
      <c r="T55" s="186">
        <v>1</v>
      </c>
      <c r="U55" s="186"/>
      <c r="V55" s="186"/>
      <c r="W55" s="186"/>
      <c r="X55" s="186"/>
      <c r="Y55" s="186"/>
      <c r="Z55" s="186"/>
      <c r="AA55" s="186"/>
      <c r="AB55" s="1564">
        <f t="shared" si="4"/>
        <v>2</v>
      </c>
    </row>
    <row r="56" spans="1:31" ht="15" customHeight="1">
      <c r="A56" s="2080"/>
      <c r="B56" s="1273" t="s">
        <v>179</v>
      </c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  <c r="R56" s="186"/>
      <c r="S56" s="186"/>
      <c r="T56" s="186">
        <v>1</v>
      </c>
      <c r="U56" s="186"/>
      <c r="V56" s="186"/>
      <c r="W56" s="186"/>
      <c r="X56" s="186"/>
      <c r="Y56" s="186"/>
      <c r="Z56" s="186"/>
      <c r="AA56" s="186"/>
      <c r="AB56" s="1564">
        <f t="shared" si="4"/>
        <v>1</v>
      </c>
    </row>
    <row r="57" spans="1:31" ht="15" customHeight="1">
      <c r="A57" s="2080"/>
      <c r="B57" s="184" t="s">
        <v>181</v>
      </c>
      <c r="C57" s="184"/>
      <c r="D57" s="184"/>
      <c r="E57" s="184"/>
      <c r="F57" s="184"/>
      <c r="G57" s="184"/>
      <c r="H57" s="184"/>
      <c r="I57" s="184"/>
      <c r="J57" s="184"/>
      <c r="K57" s="184"/>
      <c r="L57" s="184">
        <v>1</v>
      </c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569">
        <f t="shared" si="4"/>
        <v>1</v>
      </c>
    </row>
    <row r="58" spans="1:31" ht="15" customHeight="1">
      <c r="A58" s="2080"/>
      <c r="B58" s="1273" t="s">
        <v>184</v>
      </c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  <c r="R58" s="186"/>
      <c r="S58" s="186"/>
      <c r="T58" s="186">
        <v>1</v>
      </c>
      <c r="U58" s="186"/>
      <c r="V58" s="186"/>
      <c r="W58" s="186"/>
      <c r="X58" s="186"/>
      <c r="Y58" s="186"/>
      <c r="Z58" s="186"/>
      <c r="AA58" s="186"/>
      <c r="AB58" s="1564">
        <f t="shared" si="4"/>
        <v>1</v>
      </c>
    </row>
    <row r="59" spans="1:31" ht="15" customHeight="1">
      <c r="A59" s="2080"/>
      <c r="B59" s="1566" t="s">
        <v>185</v>
      </c>
      <c r="C59" s="1562"/>
      <c r="D59" s="1562"/>
      <c r="E59" s="1562"/>
      <c r="F59" s="1562"/>
      <c r="G59" s="1562"/>
      <c r="H59" s="1562"/>
      <c r="I59" s="1562"/>
      <c r="J59" s="1562"/>
      <c r="K59" s="1562"/>
      <c r="L59" s="1562">
        <v>1</v>
      </c>
      <c r="M59" s="1562"/>
      <c r="N59" s="1562"/>
      <c r="O59" s="1562"/>
      <c r="P59" s="1562"/>
      <c r="Q59" s="1562"/>
      <c r="R59" s="1562"/>
      <c r="S59" s="1562"/>
      <c r="T59" s="1562"/>
      <c r="U59" s="1562"/>
      <c r="V59" s="1562"/>
      <c r="W59" s="1562"/>
      <c r="X59" s="1562"/>
      <c r="Y59" s="1562"/>
      <c r="Z59" s="1562"/>
      <c r="AA59" s="1562"/>
      <c r="AB59" s="1564">
        <f t="shared" si="4"/>
        <v>1</v>
      </c>
    </row>
    <row r="60" spans="1:31" s="577" customFormat="1" ht="15" customHeight="1">
      <c r="A60" s="2080"/>
      <c r="B60" s="1273" t="s">
        <v>186</v>
      </c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  <c r="R60" s="186"/>
      <c r="S60" s="186"/>
      <c r="T60" s="186"/>
      <c r="U60" s="186"/>
      <c r="V60" s="186"/>
      <c r="W60" s="186"/>
      <c r="X60" s="186"/>
      <c r="Y60" s="186"/>
      <c r="Z60" s="186"/>
      <c r="AA60" s="186">
        <v>1</v>
      </c>
      <c r="AB60" s="1564">
        <f t="shared" si="4"/>
        <v>1</v>
      </c>
    </row>
    <row r="61" spans="1:31" s="577" customFormat="1" ht="15" customHeight="1">
      <c r="A61" s="2080"/>
      <c r="B61" s="1273" t="s">
        <v>190</v>
      </c>
      <c r="C61" s="186"/>
      <c r="D61" s="186"/>
      <c r="E61" s="186"/>
      <c r="F61" s="186"/>
      <c r="G61" s="186">
        <v>1</v>
      </c>
      <c r="H61" s="186"/>
      <c r="I61" s="186"/>
      <c r="J61" s="186"/>
      <c r="K61" s="186"/>
      <c r="L61" s="186"/>
      <c r="M61" s="186"/>
      <c r="N61" s="186"/>
      <c r="O61" s="186"/>
      <c r="P61" s="186"/>
      <c r="Q61" s="186"/>
      <c r="R61" s="186"/>
      <c r="S61" s="186"/>
      <c r="T61" s="186"/>
      <c r="U61" s="186"/>
      <c r="V61" s="186"/>
      <c r="W61" s="186"/>
      <c r="X61" s="186"/>
      <c r="Y61" s="186"/>
      <c r="Z61" s="186"/>
      <c r="AA61" s="186"/>
      <c r="AB61" s="1564">
        <f t="shared" si="4"/>
        <v>1</v>
      </c>
    </row>
    <row r="62" spans="1:31" s="21" customFormat="1" ht="13.2">
      <c r="A62" s="2080"/>
      <c r="B62" s="1273" t="s">
        <v>191</v>
      </c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>
        <v>1</v>
      </c>
      <c r="N62" s="186"/>
      <c r="O62" s="186"/>
      <c r="P62" s="186"/>
      <c r="Q62" s="186"/>
      <c r="R62" s="186"/>
      <c r="S62" s="186"/>
      <c r="T62" s="186"/>
      <c r="U62" s="186"/>
      <c r="V62" s="186"/>
      <c r="W62" s="186"/>
      <c r="X62" s="186"/>
      <c r="Y62" s="186"/>
      <c r="Z62" s="186"/>
      <c r="AA62" s="186"/>
      <c r="AB62" s="1564">
        <f t="shared" si="4"/>
        <v>1</v>
      </c>
      <c r="AE62" s="1274"/>
    </row>
    <row r="63" spans="1:31" ht="13.2">
      <c r="A63" s="2080"/>
      <c r="B63" s="185" t="s">
        <v>192</v>
      </c>
      <c r="C63" s="185">
        <v>1</v>
      </c>
      <c r="D63" s="185"/>
      <c r="E63" s="185"/>
      <c r="F63" s="185"/>
      <c r="G63" s="185"/>
      <c r="H63" s="185"/>
      <c r="I63" s="185"/>
      <c r="J63" s="185"/>
      <c r="K63" s="185"/>
      <c r="L63" s="185"/>
      <c r="M63" s="185"/>
      <c r="N63" s="185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5"/>
      <c r="Z63" s="185"/>
      <c r="AA63" s="185">
        <v>1</v>
      </c>
      <c r="AB63" s="1569">
        <f t="shared" si="4"/>
        <v>2</v>
      </c>
    </row>
    <row r="64" spans="1:31" ht="13.8" thickBot="1">
      <c r="A64" s="2081"/>
      <c r="B64" s="1810" t="s">
        <v>149</v>
      </c>
      <c r="C64" s="1810">
        <f>SUM(C52:C63)</f>
        <v>1</v>
      </c>
      <c r="D64" s="1810">
        <f t="shared" ref="D64:AA64" si="5">SUM(D52:D63)</f>
        <v>0</v>
      </c>
      <c r="E64" s="1810">
        <f t="shared" si="5"/>
        <v>0</v>
      </c>
      <c r="F64" s="1810">
        <f t="shared" si="5"/>
        <v>0</v>
      </c>
      <c r="G64" s="1810">
        <f t="shared" si="5"/>
        <v>1</v>
      </c>
      <c r="H64" s="1810">
        <f t="shared" si="5"/>
        <v>0</v>
      </c>
      <c r="I64" s="1810">
        <f t="shared" si="5"/>
        <v>0</v>
      </c>
      <c r="J64" s="1810">
        <f t="shared" si="5"/>
        <v>0</v>
      </c>
      <c r="K64" s="1810">
        <f t="shared" si="5"/>
        <v>0</v>
      </c>
      <c r="L64" s="1810">
        <f t="shared" si="5"/>
        <v>2</v>
      </c>
      <c r="M64" s="1810">
        <f t="shared" si="5"/>
        <v>1</v>
      </c>
      <c r="N64" s="1810">
        <f t="shared" si="5"/>
        <v>2</v>
      </c>
      <c r="O64" s="1810">
        <f t="shared" si="5"/>
        <v>1</v>
      </c>
      <c r="P64" s="1810">
        <f t="shared" si="5"/>
        <v>0</v>
      </c>
      <c r="Q64" s="1810">
        <f t="shared" si="5"/>
        <v>0</v>
      </c>
      <c r="R64" s="1810">
        <f t="shared" si="5"/>
        <v>0</v>
      </c>
      <c r="S64" s="1810">
        <f t="shared" si="5"/>
        <v>0</v>
      </c>
      <c r="T64" s="1810">
        <f t="shared" si="5"/>
        <v>4</v>
      </c>
      <c r="U64" s="1810">
        <f t="shared" si="5"/>
        <v>0</v>
      </c>
      <c r="V64" s="1810">
        <f t="shared" si="5"/>
        <v>0</v>
      </c>
      <c r="W64" s="1810">
        <f t="shared" si="5"/>
        <v>0</v>
      </c>
      <c r="X64" s="1810">
        <f t="shared" si="5"/>
        <v>0</v>
      </c>
      <c r="Y64" s="1810">
        <f t="shared" si="5"/>
        <v>0</v>
      </c>
      <c r="Z64" s="1810">
        <f t="shared" si="5"/>
        <v>0</v>
      </c>
      <c r="AA64" s="1810">
        <f t="shared" si="5"/>
        <v>3</v>
      </c>
      <c r="AB64" s="1813">
        <f t="shared" si="4"/>
        <v>15</v>
      </c>
    </row>
    <row r="65" spans="2:28" ht="12">
      <c r="B65" s="458" t="str">
        <f>'fiche technique'!A14</f>
        <v>Source: GALAXIE (ANTEE), DGRH A1-1 &amp; DGRH A2, juin 2014</v>
      </c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577"/>
      <c r="AB65" s="578"/>
    </row>
    <row r="66" spans="2:28" ht="13.2">
      <c r="B66" s="458" t="s">
        <v>237</v>
      </c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</row>
  </sheetData>
  <mergeCells count="7">
    <mergeCell ref="A52:A64"/>
    <mergeCell ref="A2:AB2"/>
    <mergeCell ref="A4:Z4"/>
    <mergeCell ref="A5:Z5"/>
    <mergeCell ref="A6:Z6"/>
    <mergeCell ref="A30:A50"/>
    <mergeCell ref="A9:A29"/>
  </mergeCells>
  <printOptions horizontalCentered="1"/>
  <pageMargins left="0.39370078740157483" right="0.39370078740157483" top="0.39370078740157483" bottom="0" header="0.31496062992125984" footer="0.11811023622047245"/>
  <pageSetup paperSize="9" scale="75" orientation="portrait" r:id="rId1"/>
  <headerFooter alignWithMargins="0">
    <oddHeader>&amp;LDGRH A1-1</oddHeader>
    <oddFooter>&amp;CPage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Feuil29">
    <tabColor rgb="FFFFFF00"/>
  </sheetPr>
  <dimension ref="A1:AI50"/>
  <sheetViews>
    <sheetView showZeros="0" topLeftCell="A9" workbookViewId="0">
      <selection activeCell="L18" sqref="L18"/>
    </sheetView>
  </sheetViews>
  <sheetFormatPr baseColWidth="10" defaultRowHeight="13.2"/>
  <cols>
    <col min="1" max="1" width="23.109375" customWidth="1"/>
    <col min="2" max="29" width="3.6640625" customWidth="1"/>
    <col min="30" max="30" width="3.5546875" bestFit="1" customWidth="1"/>
  </cols>
  <sheetData>
    <row r="1" spans="1:35" ht="15" customHeight="1"/>
    <row r="2" spans="1:35" ht="24" customHeight="1">
      <c r="A2" s="2087" t="str">
        <f>'fiche technique'!A6</f>
        <v>Bilan de la campagne 2014 de recrutement et d'affectation des maîtres de conférences et des professeurs des universités (session synchronisée - ANTEE)</v>
      </c>
      <c r="B2" s="2087"/>
      <c r="C2" s="2087"/>
      <c r="D2" s="2087"/>
      <c r="E2" s="2087"/>
      <c r="F2" s="2087"/>
      <c r="G2" s="2087"/>
      <c r="H2" s="2087"/>
      <c r="I2" s="2087"/>
      <c r="J2" s="2087"/>
      <c r="K2" s="2087"/>
      <c r="L2" s="2087"/>
      <c r="M2" s="2087"/>
      <c r="N2" s="2087"/>
      <c r="O2" s="2087"/>
      <c r="P2" s="2087"/>
      <c r="Q2" s="2087"/>
      <c r="R2" s="2087"/>
      <c r="S2" s="2087"/>
      <c r="T2" s="2087"/>
      <c r="U2" s="2087"/>
      <c r="V2" s="2087"/>
      <c r="W2" s="2087"/>
      <c r="X2" s="2087"/>
      <c r="Y2" s="2087"/>
      <c r="Z2" s="2087"/>
      <c r="AA2" s="2087"/>
      <c r="AB2" s="2087"/>
      <c r="AC2" s="2087"/>
      <c r="AD2" s="2088"/>
    </row>
    <row r="3" spans="1:35" ht="15" customHeight="1"/>
    <row r="4" spans="1:35" ht="18.75" customHeight="1">
      <c r="A4" s="2084" t="s">
        <v>212</v>
      </c>
      <c r="B4" s="2084"/>
      <c r="C4" s="2084"/>
      <c r="D4" s="2084"/>
      <c r="E4" s="2084"/>
      <c r="F4" s="2084"/>
      <c r="G4" s="2084"/>
      <c r="H4" s="2084"/>
      <c r="I4" s="2084"/>
      <c r="J4" s="2084"/>
      <c r="K4" s="2084"/>
      <c r="L4" s="2084"/>
      <c r="M4" s="2084"/>
      <c r="N4" s="2084"/>
      <c r="O4" s="2084"/>
      <c r="P4" s="2084"/>
      <c r="Q4" s="2084"/>
      <c r="R4" s="2084"/>
      <c r="S4" s="2084"/>
      <c r="T4" s="2084"/>
      <c r="U4" s="2084"/>
      <c r="V4" s="2084"/>
      <c r="W4" s="2084"/>
      <c r="X4" s="2084"/>
      <c r="Y4" s="2084"/>
      <c r="Z4" s="2084"/>
      <c r="AA4" s="2084"/>
      <c r="AB4" s="2084"/>
      <c r="AC4" s="2084"/>
    </row>
    <row r="5" spans="1:35" ht="18.75" customHeight="1">
      <c r="A5" s="2084" t="s">
        <v>238</v>
      </c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  <c r="P5" s="2084"/>
      <c r="Q5" s="2084"/>
      <c r="R5" s="2084"/>
      <c r="S5" s="2084"/>
      <c r="T5" s="2084"/>
      <c r="U5" s="2084"/>
      <c r="V5" s="2084"/>
      <c r="W5" s="2084"/>
      <c r="X5" s="2084"/>
      <c r="Y5" s="2084"/>
      <c r="Z5" s="2084"/>
      <c r="AA5" s="2084"/>
      <c r="AB5" s="2084"/>
      <c r="AC5" s="2084"/>
    </row>
    <row r="6" spans="1:35" ht="15" customHeight="1">
      <c r="L6" s="62"/>
    </row>
    <row r="7" spans="1:35" ht="17.399999999999999">
      <c r="A7" s="54" t="s">
        <v>994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</row>
    <row r="8" spans="1:35" ht="15" customHeight="1" thickBot="1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</row>
    <row r="9" spans="1:35" ht="112.5" customHeight="1">
      <c r="A9" s="188"/>
      <c r="B9" s="181" t="s">
        <v>169</v>
      </c>
      <c r="C9" s="181" t="s">
        <v>170</v>
      </c>
      <c r="D9" s="182" t="s">
        <v>391</v>
      </c>
      <c r="E9" s="182" t="s">
        <v>171</v>
      </c>
      <c r="F9" s="182" t="s">
        <v>172</v>
      </c>
      <c r="G9" s="182" t="s">
        <v>173</v>
      </c>
      <c r="H9" s="182" t="s">
        <v>523</v>
      </c>
      <c r="I9" s="182" t="s">
        <v>204</v>
      </c>
      <c r="J9" s="182" t="s">
        <v>174</v>
      </c>
      <c r="K9" s="182" t="s">
        <v>175</v>
      </c>
      <c r="L9" s="182" t="s">
        <v>176</v>
      </c>
      <c r="M9" s="182" t="s">
        <v>199</v>
      </c>
      <c r="N9" s="182" t="s">
        <v>177</v>
      </c>
      <c r="O9" s="182" t="s">
        <v>178</v>
      </c>
      <c r="P9" s="182" t="s">
        <v>179</v>
      </c>
      <c r="Q9" s="182" t="s">
        <v>180</v>
      </c>
      <c r="R9" s="182" t="s">
        <v>181</v>
      </c>
      <c r="S9" s="182" t="s">
        <v>182</v>
      </c>
      <c r="T9" s="182" t="s">
        <v>183</v>
      </c>
      <c r="U9" s="182" t="s">
        <v>184</v>
      </c>
      <c r="V9" s="182" t="s">
        <v>366</v>
      </c>
      <c r="W9" s="182" t="s">
        <v>185</v>
      </c>
      <c r="X9" s="182" t="s">
        <v>186</v>
      </c>
      <c r="Y9" s="182" t="s">
        <v>187</v>
      </c>
      <c r="Z9" s="182" t="s">
        <v>188</v>
      </c>
      <c r="AA9" s="182" t="s">
        <v>189</v>
      </c>
      <c r="AB9" s="182" t="s">
        <v>190</v>
      </c>
      <c r="AC9" s="182" t="s">
        <v>191</v>
      </c>
      <c r="AD9" s="598" t="s">
        <v>192</v>
      </c>
    </row>
    <row r="10" spans="1:35" ht="15" customHeight="1">
      <c r="A10" s="189" t="s">
        <v>193</v>
      </c>
      <c r="B10" s="579">
        <v>1</v>
      </c>
      <c r="C10" s="580">
        <v>-4</v>
      </c>
      <c r="D10" s="580">
        <v>0</v>
      </c>
      <c r="E10" s="580">
        <v>-3</v>
      </c>
      <c r="F10" s="580">
        <v>2</v>
      </c>
      <c r="G10" s="580"/>
      <c r="H10" s="580"/>
      <c r="I10" s="580"/>
      <c r="J10" s="580">
        <v>-1</v>
      </c>
      <c r="K10" s="580">
        <v>1</v>
      </c>
      <c r="L10" s="580">
        <v>-1</v>
      </c>
      <c r="M10" s="580">
        <v>-1</v>
      </c>
      <c r="N10" s="580">
        <v>-6</v>
      </c>
      <c r="O10" s="580"/>
      <c r="P10" s="580">
        <v>-1</v>
      </c>
      <c r="Q10" s="580">
        <v>2</v>
      </c>
      <c r="R10" s="580">
        <v>-1</v>
      </c>
      <c r="S10" s="580">
        <v>-1</v>
      </c>
      <c r="T10" s="580">
        <v>-1</v>
      </c>
      <c r="U10" s="580">
        <v>-5</v>
      </c>
      <c r="V10" s="580">
        <v>1</v>
      </c>
      <c r="W10" s="580">
        <v>28</v>
      </c>
      <c r="X10" s="580">
        <v>-1</v>
      </c>
      <c r="Y10" s="580">
        <v>0</v>
      </c>
      <c r="Z10" s="580">
        <v>-2</v>
      </c>
      <c r="AA10" s="580">
        <v>0</v>
      </c>
      <c r="AB10" s="580">
        <v>-1</v>
      </c>
      <c r="AC10" s="580">
        <v>0</v>
      </c>
      <c r="AD10" s="599">
        <v>-3</v>
      </c>
    </row>
    <row r="11" spans="1:35" ht="15" customHeight="1">
      <c r="A11" s="190" t="s">
        <v>194</v>
      </c>
      <c r="B11" s="581">
        <v>1</v>
      </c>
      <c r="C11" s="582">
        <v>-1</v>
      </c>
      <c r="D11" s="582">
        <v>0</v>
      </c>
      <c r="E11" s="582">
        <v>-1</v>
      </c>
      <c r="F11" s="582">
        <v>-3</v>
      </c>
      <c r="G11" s="582"/>
      <c r="H11" s="582"/>
      <c r="I11" s="582"/>
      <c r="J11" s="582">
        <v>1</v>
      </c>
      <c r="K11" s="582">
        <v>-1</v>
      </c>
      <c r="L11" s="582">
        <v>-3</v>
      </c>
      <c r="M11" s="582">
        <v>1</v>
      </c>
      <c r="N11" s="582">
        <v>-2</v>
      </c>
      <c r="O11" s="582"/>
      <c r="P11" s="582">
        <v>0</v>
      </c>
      <c r="Q11" s="582">
        <v>1</v>
      </c>
      <c r="R11" s="582">
        <v>0</v>
      </c>
      <c r="S11" s="582">
        <v>1</v>
      </c>
      <c r="T11" s="582">
        <v>-1</v>
      </c>
      <c r="U11" s="582">
        <v>-3</v>
      </c>
      <c r="V11" s="582">
        <v>0</v>
      </c>
      <c r="W11" s="582">
        <v>12</v>
      </c>
      <c r="X11" s="582">
        <v>-3</v>
      </c>
      <c r="Y11" s="582">
        <v>-1</v>
      </c>
      <c r="Z11" s="582">
        <v>0</v>
      </c>
      <c r="AA11" s="582">
        <v>0</v>
      </c>
      <c r="AB11" s="582">
        <v>1</v>
      </c>
      <c r="AC11" s="582">
        <v>2</v>
      </c>
      <c r="AD11" s="600">
        <v>-1</v>
      </c>
    </row>
    <row r="12" spans="1:35" ht="15" customHeight="1">
      <c r="A12" s="191" t="s">
        <v>239</v>
      </c>
      <c r="B12" s="583">
        <v>2</v>
      </c>
      <c r="C12" s="584">
        <v>0</v>
      </c>
      <c r="D12" s="584">
        <v>0</v>
      </c>
      <c r="E12" s="584">
        <v>0</v>
      </c>
      <c r="F12" s="584">
        <v>0</v>
      </c>
      <c r="G12" s="584"/>
      <c r="H12" s="584"/>
      <c r="I12" s="584"/>
      <c r="J12" s="584">
        <v>1</v>
      </c>
      <c r="K12" s="584">
        <v>-1</v>
      </c>
      <c r="L12" s="584">
        <v>0</v>
      </c>
      <c r="M12" s="584">
        <v>0</v>
      </c>
      <c r="N12" s="584">
        <v>0</v>
      </c>
      <c r="O12" s="584"/>
      <c r="P12" s="584">
        <v>1</v>
      </c>
      <c r="Q12" s="584">
        <v>2</v>
      </c>
      <c r="R12" s="584">
        <v>0</v>
      </c>
      <c r="S12" s="584">
        <v>-1</v>
      </c>
      <c r="T12" s="584">
        <v>2</v>
      </c>
      <c r="U12" s="584">
        <v>0</v>
      </c>
      <c r="V12" s="584">
        <v>0</v>
      </c>
      <c r="W12" s="584">
        <v>-3</v>
      </c>
      <c r="X12" s="584">
        <v>0</v>
      </c>
      <c r="Y12" s="584">
        <v>0</v>
      </c>
      <c r="Z12" s="584">
        <v>-1</v>
      </c>
      <c r="AA12" s="584">
        <v>-1</v>
      </c>
      <c r="AB12" s="584">
        <v>0</v>
      </c>
      <c r="AC12" s="584">
        <v>1</v>
      </c>
      <c r="AD12" s="601">
        <v>-2</v>
      </c>
    </row>
    <row r="13" spans="1:35" ht="15" customHeight="1" thickBot="1">
      <c r="A13" s="192" t="s">
        <v>213</v>
      </c>
      <c r="B13" s="585">
        <f t="shared" ref="B13:AD13" si="0">B10+B11+B12</f>
        <v>4</v>
      </c>
      <c r="C13" s="585">
        <f t="shared" si="0"/>
        <v>-5</v>
      </c>
      <c r="D13" s="585">
        <f>D10+D11+D12</f>
        <v>0</v>
      </c>
      <c r="E13" s="585">
        <f t="shared" si="0"/>
        <v>-4</v>
      </c>
      <c r="F13" s="585">
        <f t="shared" si="0"/>
        <v>-1</v>
      </c>
      <c r="G13" s="585">
        <f t="shared" si="0"/>
        <v>0</v>
      </c>
      <c r="H13" s="585">
        <f t="shared" si="0"/>
        <v>0</v>
      </c>
      <c r="I13" s="585">
        <f t="shared" si="0"/>
        <v>0</v>
      </c>
      <c r="J13" s="585">
        <f t="shared" si="0"/>
        <v>1</v>
      </c>
      <c r="K13" s="585">
        <f t="shared" si="0"/>
        <v>-1</v>
      </c>
      <c r="L13" s="585">
        <f t="shared" si="0"/>
        <v>-4</v>
      </c>
      <c r="M13" s="585">
        <f t="shared" si="0"/>
        <v>0</v>
      </c>
      <c r="N13" s="585">
        <f t="shared" si="0"/>
        <v>-8</v>
      </c>
      <c r="O13" s="585">
        <f t="shared" si="0"/>
        <v>0</v>
      </c>
      <c r="P13" s="585">
        <f t="shared" si="0"/>
        <v>0</v>
      </c>
      <c r="Q13" s="585">
        <f t="shared" si="0"/>
        <v>5</v>
      </c>
      <c r="R13" s="585">
        <f t="shared" si="0"/>
        <v>-1</v>
      </c>
      <c r="S13" s="585">
        <f t="shared" si="0"/>
        <v>-1</v>
      </c>
      <c r="T13" s="585">
        <f t="shared" si="0"/>
        <v>0</v>
      </c>
      <c r="U13" s="585">
        <f t="shared" si="0"/>
        <v>-8</v>
      </c>
      <c r="V13" s="585">
        <f t="shared" si="0"/>
        <v>1</v>
      </c>
      <c r="W13" s="585">
        <f t="shared" si="0"/>
        <v>37</v>
      </c>
      <c r="X13" s="585">
        <f t="shared" si="0"/>
        <v>-4</v>
      </c>
      <c r="Y13" s="585">
        <f t="shared" si="0"/>
        <v>-1</v>
      </c>
      <c r="Z13" s="585">
        <f t="shared" si="0"/>
        <v>-3</v>
      </c>
      <c r="AA13" s="585">
        <f t="shared" si="0"/>
        <v>-1</v>
      </c>
      <c r="AB13" s="585">
        <f t="shared" si="0"/>
        <v>0</v>
      </c>
      <c r="AC13" s="585">
        <f t="shared" si="0"/>
        <v>3</v>
      </c>
      <c r="AD13" s="602">
        <f t="shared" si="0"/>
        <v>-6</v>
      </c>
    </row>
    <row r="14" spans="1:35">
      <c r="A14" s="511" t="str">
        <f>'fiche technique'!A14</f>
        <v>Source: GALAXIE (ANTEE), DGRH A1-1 &amp; DGRH A2, juin 2014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</row>
    <row r="15" spans="1:35" ht="15" customHeight="1">
      <c r="A15" s="18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I15">
        <f>48/143</f>
        <v>0.33566433566433568</v>
      </c>
    </row>
    <row r="16" spans="1:35" ht="1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</row>
    <row r="17" spans="1:35" ht="15" customHeight="1">
      <c r="A17" s="4"/>
      <c r="B17" s="4"/>
      <c r="C17" s="4"/>
      <c r="D17" s="4"/>
      <c r="E17" s="4"/>
      <c r="F17" s="4"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</row>
    <row r="18" spans="1:35" ht="1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</row>
    <row r="19" spans="1:35" ht="17.399999999999999">
      <c r="A19" s="54" t="s">
        <v>995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</row>
    <row r="20" spans="1:35" ht="15" customHeight="1" thickBo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5" ht="112.5" customHeight="1">
      <c r="A21" s="188"/>
      <c r="B21" s="181" t="s">
        <v>169</v>
      </c>
      <c r="C21" s="181" t="s">
        <v>170</v>
      </c>
      <c r="D21" s="182" t="s">
        <v>391</v>
      </c>
      <c r="E21" s="182" t="s">
        <v>171</v>
      </c>
      <c r="F21" s="182" t="s">
        <v>172</v>
      </c>
      <c r="G21" s="182" t="s">
        <v>173</v>
      </c>
      <c r="H21" s="182" t="s">
        <v>523</v>
      </c>
      <c r="I21" s="182" t="s">
        <v>204</v>
      </c>
      <c r="J21" s="182" t="s">
        <v>174</v>
      </c>
      <c r="K21" s="182" t="s">
        <v>175</v>
      </c>
      <c r="L21" s="182" t="s">
        <v>176</v>
      </c>
      <c r="M21" s="182" t="s">
        <v>199</v>
      </c>
      <c r="N21" s="182" t="s">
        <v>177</v>
      </c>
      <c r="O21" s="182" t="s">
        <v>178</v>
      </c>
      <c r="P21" s="182" t="s">
        <v>179</v>
      </c>
      <c r="Q21" s="182" t="s">
        <v>180</v>
      </c>
      <c r="R21" s="182" t="s">
        <v>181</v>
      </c>
      <c r="S21" s="182" t="s">
        <v>182</v>
      </c>
      <c r="T21" s="182" t="s">
        <v>183</v>
      </c>
      <c r="U21" s="182" t="s">
        <v>184</v>
      </c>
      <c r="V21" s="182" t="s">
        <v>366</v>
      </c>
      <c r="W21" s="182" t="s">
        <v>185</v>
      </c>
      <c r="X21" s="182" t="s">
        <v>186</v>
      </c>
      <c r="Y21" s="182" t="s">
        <v>187</v>
      </c>
      <c r="Z21" s="182" t="s">
        <v>188</v>
      </c>
      <c r="AA21" s="182" t="s">
        <v>189</v>
      </c>
      <c r="AB21" s="182" t="s">
        <v>190</v>
      </c>
      <c r="AC21" s="182" t="s">
        <v>191</v>
      </c>
      <c r="AD21" s="598" t="s">
        <v>192</v>
      </c>
    </row>
    <row r="22" spans="1:35" ht="15" customHeight="1">
      <c r="A22" s="189" t="s">
        <v>193</v>
      </c>
      <c r="B22" s="579">
        <v>0</v>
      </c>
      <c r="C22" s="580">
        <v>1</v>
      </c>
      <c r="D22" s="580"/>
      <c r="E22" s="580">
        <v>-1</v>
      </c>
      <c r="F22" s="580">
        <v>-2</v>
      </c>
      <c r="G22" s="580">
        <v>0</v>
      </c>
      <c r="H22" s="580">
        <v>-1</v>
      </c>
      <c r="I22" s="580"/>
      <c r="J22" s="580">
        <v>-1</v>
      </c>
      <c r="K22" s="580">
        <v>1</v>
      </c>
      <c r="L22" s="580">
        <v>-1</v>
      </c>
      <c r="M22" s="580"/>
      <c r="N22" s="580">
        <v>-2</v>
      </c>
      <c r="O22" s="580">
        <v>1</v>
      </c>
      <c r="P22" s="580">
        <v>2</v>
      </c>
      <c r="Q22" s="580">
        <v>1</v>
      </c>
      <c r="R22" s="580">
        <v>1</v>
      </c>
      <c r="S22" s="580">
        <v>0</v>
      </c>
      <c r="T22" s="580">
        <v>0</v>
      </c>
      <c r="U22" s="580">
        <v>-2</v>
      </c>
      <c r="V22" s="580">
        <v>1</v>
      </c>
      <c r="W22" s="580">
        <v>3</v>
      </c>
      <c r="X22" s="580">
        <v>-1</v>
      </c>
      <c r="Y22" s="580">
        <v>-1</v>
      </c>
      <c r="Z22" s="580">
        <v>1</v>
      </c>
      <c r="AA22" s="580">
        <v>0</v>
      </c>
      <c r="AB22" s="580">
        <v>0</v>
      </c>
      <c r="AC22" s="580">
        <v>1</v>
      </c>
      <c r="AD22" s="599">
        <v>-1</v>
      </c>
      <c r="AI22">
        <f>58/143</f>
        <v>0.40559440559440557</v>
      </c>
    </row>
    <row r="23" spans="1:35" ht="15" customHeight="1">
      <c r="A23" s="190" t="s">
        <v>194</v>
      </c>
      <c r="B23" s="581">
        <v>1</v>
      </c>
      <c r="C23" s="582">
        <v>-2</v>
      </c>
      <c r="D23" s="582"/>
      <c r="E23" s="582">
        <v>1</v>
      </c>
      <c r="F23" s="582">
        <v>1</v>
      </c>
      <c r="G23" s="582">
        <v>1</v>
      </c>
      <c r="H23" s="582">
        <v>1</v>
      </c>
      <c r="I23" s="582"/>
      <c r="J23" s="582">
        <v>-1</v>
      </c>
      <c r="K23" s="582">
        <v>-1</v>
      </c>
      <c r="L23" s="582">
        <v>2</v>
      </c>
      <c r="M23" s="582"/>
      <c r="N23" s="582">
        <v>-6</v>
      </c>
      <c r="O23" s="582">
        <v>0</v>
      </c>
      <c r="P23" s="582">
        <v>-1</v>
      </c>
      <c r="Q23" s="582">
        <v>2</v>
      </c>
      <c r="R23" s="582">
        <v>-5</v>
      </c>
      <c r="S23" s="582">
        <v>1</v>
      </c>
      <c r="T23" s="582">
        <v>2</v>
      </c>
      <c r="U23" s="582">
        <v>-1</v>
      </c>
      <c r="V23" s="582">
        <v>0</v>
      </c>
      <c r="W23" s="582">
        <v>9</v>
      </c>
      <c r="X23" s="582">
        <v>1</v>
      </c>
      <c r="Y23" s="582">
        <v>-2</v>
      </c>
      <c r="Z23" s="582">
        <v>0</v>
      </c>
      <c r="AA23" s="582">
        <v>0</v>
      </c>
      <c r="AB23" s="582">
        <v>0</v>
      </c>
      <c r="AC23" s="582">
        <v>-1</v>
      </c>
      <c r="AD23" s="600">
        <v>-2</v>
      </c>
    </row>
    <row r="24" spans="1:35" ht="15" customHeight="1">
      <c r="A24" s="191" t="s">
        <v>239</v>
      </c>
      <c r="B24" s="583">
        <v>0</v>
      </c>
      <c r="C24" s="584">
        <v>0</v>
      </c>
      <c r="D24" s="584"/>
      <c r="E24" s="584">
        <v>0</v>
      </c>
      <c r="F24" s="584">
        <v>1</v>
      </c>
      <c r="G24" s="584">
        <v>-1</v>
      </c>
      <c r="H24" s="584">
        <v>0</v>
      </c>
      <c r="I24" s="584"/>
      <c r="J24" s="584">
        <v>0</v>
      </c>
      <c r="K24" s="584">
        <v>0</v>
      </c>
      <c r="L24" s="584">
        <v>2</v>
      </c>
      <c r="M24" s="584"/>
      <c r="N24" s="584">
        <v>0</v>
      </c>
      <c r="O24" s="584">
        <v>-1</v>
      </c>
      <c r="P24" s="584">
        <v>-1</v>
      </c>
      <c r="Q24" s="584">
        <v>-1</v>
      </c>
      <c r="R24" s="584">
        <v>1</v>
      </c>
      <c r="S24" s="584">
        <v>0</v>
      </c>
      <c r="T24" s="584">
        <v>0</v>
      </c>
      <c r="U24" s="584">
        <v>1</v>
      </c>
      <c r="V24" s="584">
        <v>0</v>
      </c>
      <c r="W24" s="584">
        <v>-3</v>
      </c>
      <c r="X24" s="584">
        <v>1</v>
      </c>
      <c r="Y24" s="584">
        <v>0</v>
      </c>
      <c r="Z24" s="584">
        <v>0</v>
      </c>
      <c r="AA24" s="584">
        <v>0</v>
      </c>
      <c r="AB24" s="584">
        <v>1</v>
      </c>
      <c r="AC24" s="584">
        <v>1</v>
      </c>
      <c r="AD24" s="601">
        <v>-1</v>
      </c>
    </row>
    <row r="25" spans="1:35" ht="15" customHeight="1" thickBot="1">
      <c r="A25" s="192" t="s">
        <v>214</v>
      </c>
      <c r="B25" s="585">
        <f t="shared" ref="B25:AD25" si="1">SUM(B22:B24)</f>
        <v>1</v>
      </c>
      <c r="C25" s="585">
        <f t="shared" si="1"/>
        <v>-1</v>
      </c>
      <c r="D25" s="585">
        <f>SUM(D22:D24)</f>
        <v>0</v>
      </c>
      <c r="E25" s="585">
        <f t="shared" si="1"/>
        <v>0</v>
      </c>
      <c r="F25" s="585">
        <f t="shared" si="1"/>
        <v>0</v>
      </c>
      <c r="G25" s="585">
        <f t="shared" si="1"/>
        <v>0</v>
      </c>
      <c r="H25" s="585">
        <f t="shared" si="1"/>
        <v>0</v>
      </c>
      <c r="I25" s="585">
        <f t="shared" si="1"/>
        <v>0</v>
      </c>
      <c r="J25" s="585">
        <f t="shared" si="1"/>
        <v>-2</v>
      </c>
      <c r="K25" s="585">
        <f t="shared" si="1"/>
        <v>0</v>
      </c>
      <c r="L25" s="585">
        <f t="shared" si="1"/>
        <v>3</v>
      </c>
      <c r="M25" s="585">
        <f t="shared" si="1"/>
        <v>0</v>
      </c>
      <c r="N25" s="585">
        <f t="shared" si="1"/>
        <v>-8</v>
      </c>
      <c r="O25" s="585">
        <f t="shared" si="1"/>
        <v>0</v>
      </c>
      <c r="P25" s="585">
        <f t="shared" si="1"/>
        <v>0</v>
      </c>
      <c r="Q25" s="585">
        <f t="shared" si="1"/>
        <v>2</v>
      </c>
      <c r="R25" s="585">
        <f t="shared" si="1"/>
        <v>-3</v>
      </c>
      <c r="S25" s="585">
        <f t="shared" si="1"/>
        <v>1</v>
      </c>
      <c r="T25" s="585">
        <f t="shared" si="1"/>
        <v>2</v>
      </c>
      <c r="U25" s="585">
        <f t="shared" si="1"/>
        <v>-2</v>
      </c>
      <c r="V25" s="585">
        <f t="shared" si="1"/>
        <v>1</v>
      </c>
      <c r="W25" s="585">
        <f t="shared" si="1"/>
        <v>9</v>
      </c>
      <c r="X25" s="585">
        <f t="shared" si="1"/>
        <v>1</v>
      </c>
      <c r="Y25" s="585">
        <f t="shared" si="1"/>
        <v>-3</v>
      </c>
      <c r="Z25" s="585">
        <f t="shared" si="1"/>
        <v>1</v>
      </c>
      <c r="AA25" s="585">
        <f t="shared" si="1"/>
        <v>0</v>
      </c>
      <c r="AB25" s="585">
        <f t="shared" si="1"/>
        <v>1</v>
      </c>
      <c r="AC25" s="585">
        <f t="shared" si="1"/>
        <v>1</v>
      </c>
      <c r="AD25" s="602">
        <f t="shared" si="1"/>
        <v>-4</v>
      </c>
    </row>
    <row r="26" spans="1:35">
      <c r="A26" s="511" t="str">
        <f>'fiche technique'!A14</f>
        <v>Source: GALAXIE (ANTEE), DGRH A1-1 &amp; DGRH A2, juin 2014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5" ht="1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5" ht="1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5" ht="15" customHeight="1">
      <c r="A29" s="21"/>
      <c r="B29" s="4"/>
      <c r="C29" s="4"/>
      <c r="D29" s="4"/>
      <c r="E29" s="21"/>
      <c r="F29" s="21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5" ht="1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5" ht="17.399999999999999">
      <c r="A31" s="54" t="s">
        <v>215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5" ht="15" customHeight="1" thickBo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12.5" customHeight="1">
      <c r="A33" s="188"/>
      <c r="B33" s="181" t="s">
        <v>169</v>
      </c>
      <c r="C33" s="181" t="s">
        <v>170</v>
      </c>
      <c r="D33" s="182" t="s">
        <v>391</v>
      </c>
      <c r="E33" s="182" t="s">
        <v>171</v>
      </c>
      <c r="F33" s="182" t="s">
        <v>172</v>
      </c>
      <c r="G33" s="182" t="s">
        <v>173</v>
      </c>
      <c r="H33" s="182" t="s">
        <v>523</v>
      </c>
      <c r="I33" s="182" t="s">
        <v>204</v>
      </c>
      <c r="J33" s="182" t="s">
        <v>174</v>
      </c>
      <c r="K33" s="182" t="s">
        <v>175</v>
      </c>
      <c r="L33" s="182" t="s">
        <v>176</v>
      </c>
      <c r="M33" s="182" t="s">
        <v>199</v>
      </c>
      <c r="N33" s="182" t="s">
        <v>177</v>
      </c>
      <c r="O33" s="182" t="s">
        <v>178</v>
      </c>
      <c r="P33" s="182" t="s">
        <v>179</v>
      </c>
      <c r="Q33" s="182" t="s">
        <v>180</v>
      </c>
      <c r="R33" s="182" t="s">
        <v>181</v>
      </c>
      <c r="S33" s="182" t="s">
        <v>182</v>
      </c>
      <c r="T33" s="182" t="s">
        <v>183</v>
      </c>
      <c r="U33" s="182" t="s">
        <v>184</v>
      </c>
      <c r="V33" s="182" t="s">
        <v>366</v>
      </c>
      <c r="W33" s="182" t="s">
        <v>185</v>
      </c>
      <c r="X33" s="182" t="s">
        <v>186</v>
      </c>
      <c r="Y33" s="182" t="s">
        <v>187</v>
      </c>
      <c r="Z33" s="182" t="s">
        <v>188</v>
      </c>
      <c r="AA33" s="182" t="s">
        <v>189</v>
      </c>
      <c r="AB33" s="182" t="s">
        <v>190</v>
      </c>
      <c r="AC33" s="182" t="s">
        <v>191</v>
      </c>
      <c r="AD33" s="598" t="s">
        <v>192</v>
      </c>
    </row>
    <row r="34" spans="1:30" ht="15" customHeight="1">
      <c r="A34" s="189" t="s">
        <v>193</v>
      </c>
      <c r="B34" s="579">
        <f>B10+B22</f>
        <v>1</v>
      </c>
      <c r="C34" s="580">
        <f t="shared" ref="C34:AD36" si="2">C10+C22</f>
        <v>-3</v>
      </c>
      <c r="D34" s="580">
        <f>D10+D22</f>
        <v>0</v>
      </c>
      <c r="E34" s="580">
        <f t="shared" si="2"/>
        <v>-4</v>
      </c>
      <c r="F34" s="580">
        <f t="shared" si="2"/>
        <v>0</v>
      </c>
      <c r="G34" s="580">
        <f t="shared" si="2"/>
        <v>0</v>
      </c>
      <c r="H34" s="580">
        <f t="shared" si="2"/>
        <v>-1</v>
      </c>
      <c r="I34" s="580">
        <f t="shared" si="2"/>
        <v>0</v>
      </c>
      <c r="J34" s="580">
        <f t="shared" si="2"/>
        <v>-2</v>
      </c>
      <c r="K34" s="580">
        <f t="shared" si="2"/>
        <v>2</v>
      </c>
      <c r="L34" s="580">
        <f t="shared" si="2"/>
        <v>-2</v>
      </c>
      <c r="M34" s="580">
        <f t="shared" si="2"/>
        <v>-1</v>
      </c>
      <c r="N34" s="580">
        <f t="shared" si="2"/>
        <v>-8</v>
      </c>
      <c r="O34" s="580">
        <f t="shared" si="2"/>
        <v>1</v>
      </c>
      <c r="P34" s="580">
        <f t="shared" si="2"/>
        <v>1</v>
      </c>
      <c r="Q34" s="580">
        <f t="shared" si="2"/>
        <v>3</v>
      </c>
      <c r="R34" s="580">
        <f t="shared" si="2"/>
        <v>0</v>
      </c>
      <c r="S34" s="580">
        <f t="shared" si="2"/>
        <v>-1</v>
      </c>
      <c r="T34" s="580">
        <f t="shared" si="2"/>
        <v>-1</v>
      </c>
      <c r="U34" s="580">
        <f t="shared" si="2"/>
        <v>-7</v>
      </c>
      <c r="V34" s="580">
        <f t="shared" si="2"/>
        <v>2</v>
      </c>
      <c r="W34" s="580">
        <f t="shared" si="2"/>
        <v>31</v>
      </c>
      <c r="X34" s="580">
        <f t="shared" si="2"/>
        <v>-2</v>
      </c>
      <c r="Y34" s="580">
        <f t="shared" si="2"/>
        <v>-1</v>
      </c>
      <c r="Z34" s="580">
        <f t="shared" si="2"/>
        <v>-1</v>
      </c>
      <c r="AA34" s="580">
        <f t="shared" si="2"/>
        <v>0</v>
      </c>
      <c r="AB34" s="580">
        <f t="shared" si="2"/>
        <v>-1</v>
      </c>
      <c r="AC34" s="580">
        <f t="shared" si="2"/>
        <v>1</v>
      </c>
      <c r="AD34" s="599">
        <f t="shared" si="2"/>
        <v>-4</v>
      </c>
    </row>
    <row r="35" spans="1:30" ht="15" customHeight="1">
      <c r="A35" s="190" t="s">
        <v>194</v>
      </c>
      <c r="B35" s="581">
        <f t="shared" ref="B35:Q36" si="3">B11+B23</f>
        <v>2</v>
      </c>
      <c r="C35" s="582">
        <f t="shared" si="3"/>
        <v>-3</v>
      </c>
      <c r="D35" s="582">
        <f>D11+D23</f>
        <v>0</v>
      </c>
      <c r="E35" s="582">
        <f t="shared" si="3"/>
        <v>0</v>
      </c>
      <c r="F35" s="582">
        <f t="shared" si="3"/>
        <v>-2</v>
      </c>
      <c r="G35" s="582">
        <f t="shared" si="3"/>
        <v>1</v>
      </c>
      <c r="H35" s="582">
        <f t="shared" si="3"/>
        <v>1</v>
      </c>
      <c r="I35" s="582">
        <f t="shared" si="3"/>
        <v>0</v>
      </c>
      <c r="J35" s="582">
        <f t="shared" si="3"/>
        <v>0</v>
      </c>
      <c r="K35" s="582">
        <f t="shared" si="3"/>
        <v>-2</v>
      </c>
      <c r="L35" s="582">
        <f t="shared" si="3"/>
        <v>-1</v>
      </c>
      <c r="M35" s="582">
        <f t="shared" si="3"/>
        <v>1</v>
      </c>
      <c r="N35" s="582">
        <f t="shared" si="3"/>
        <v>-8</v>
      </c>
      <c r="O35" s="582">
        <f t="shared" si="3"/>
        <v>0</v>
      </c>
      <c r="P35" s="582">
        <f t="shared" si="3"/>
        <v>-1</v>
      </c>
      <c r="Q35" s="582">
        <f t="shared" si="3"/>
        <v>3</v>
      </c>
      <c r="R35" s="582">
        <f t="shared" si="2"/>
        <v>-5</v>
      </c>
      <c r="S35" s="582">
        <f t="shared" si="2"/>
        <v>2</v>
      </c>
      <c r="T35" s="582">
        <f t="shared" si="2"/>
        <v>1</v>
      </c>
      <c r="U35" s="582">
        <f t="shared" si="2"/>
        <v>-4</v>
      </c>
      <c r="V35" s="582">
        <f t="shared" si="2"/>
        <v>0</v>
      </c>
      <c r="W35" s="582">
        <f t="shared" si="2"/>
        <v>21</v>
      </c>
      <c r="X35" s="582">
        <f t="shared" si="2"/>
        <v>-2</v>
      </c>
      <c r="Y35" s="582">
        <f t="shared" si="2"/>
        <v>-3</v>
      </c>
      <c r="Z35" s="582">
        <f t="shared" si="2"/>
        <v>0</v>
      </c>
      <c r="AA35" s="582">
        <f t="shared" si="2"/>
        <v>0</v>
      </c>
      <c r="AB35" s="582">
        <f t="shared" si="2"/>
        <v>1</v>
      </c>
      <c r="AC35" s="582">
        <f t="shared" si="2"/>
        <v>1</v>
      </c>
      <c r="AD35" s="600">
        <f t="shared" si="2"/>
        <v>-3</v>
      </c>
    </row>
    <row r="36" spans="1:30" ht="15" customHeight="1">
      <c r="A36" s="191" t="s">
        <v>239</v>
      </c>
      <c r="B36" s="583">
        <f t="shared" si="3"/>
        <v>2</v>
      </c>
      <c r="C36" s="584">
        <f t="shared" si="2"/>
        <v>0</v>
      </c>
      <c r="D36" s="584">
        <f>D12+D24</f>
        <v>0</v>
      </c>
      <c r="E36" s="584">
        <f t="shared" si="2"/>
        <v>0</v>
      </c>
      <c r="F36" s="584">
        <f t="shared" si="2"/>
        <v>1</v>
      </c>
      <c r="G36" s="584">
        <f t="shared" si="2"/>
        <v>-1</v>
      </c>
      <c r="H36" s="584">
        <f t="shared" si="2"/>
        <v>0</v>
      </c>
      <c r="I36" s="584">
        <f t="shared" si="2"/>
        <v>0</v>
      </c>
      <c r="J36" s="584">
        <f t="shared" si="2"/>
        <v>1</v>
      </c>
      <c r="K36" s="584">
        <f t="shared" si="2"/>
        <v>-1</v>
      </c>
      <c r="L36" s="584">
        <f t="shared" si="2"/>
        <v>2</v>
      </c>
      <c r="M36" s="584">
        <f t="shared" si="2"/>
        <v>0</v>
      </c>
      <c r="N36" s="584">
        <f t="shared" si="2"/>
        <v>0</v>
      </c>
      <c r="O36" s="584">
        <f t="shared" si="2"/>
        <v>-1</v>
      </c>
      <c r="P36" s="584">
        <f t="shared" si="2"/>
        <v>0</v>
      </c>
      <c r="Q36" s="584">
        <f t="shared" si="2"/>
        <v>1</v>
      </c>
      <c r="R36" s="584">
        <f t="shared" si="2"/>
        <v>1</v>
      </c>
      <c r="S36" s="584">
        <f t="shared" si="2"/>
        <v>-1</v>
      </c>
      <c r="T36" s="584">
        <f t="shared" si="2"/>
        <v>2</v>
      </c>
      <c r="U36" s="584">
        <f t="shared" si="2"/>
        <v>1</v>
      </c>
      <c r="V36" s="584">
        <f t="shared" si="2"/>
        <v>0</v>
      </c>
      <c r="W36" s="584">
        <f t="shared" si="2"/>
        <v>-6</v>
      </c>
      <c r="X36" s="584">
        <f t="shared" si="2"/>
        <v>1</v>
      </c>
      <c r="Y36" s="584">
        <f t="shared" si="2"/>
        <v>0</v>
      </c>
      <c r="Z36" s="584">
        <f t="shared" si="2"/>
        <v>-1</v>
      </c>
      <c r="AA36" s="584">
        <f t="shared" si="2"/>
        <v>-1</v>
      </c>
      <c r="AB36" s="584">
        <f t="shared" si="2"/>
        <v>1</v>
      </c>
      <c r="AC36" s="584">
        <f t="shared" si="2"/>
        <v>2</v>
      </c>
      <c r="AD36" s="601">
        <f t="shared" si="2"/>
        <v>-3</v>
      </c>
    </row>
    <row r="37" spans="1:30" ht="15" customHeight="1" thickBot="1">
      <c r="A37" s="192" t="s">
        <v>240</v>
      </c>
      <c r="B37" s="585">
        <f>SUM(B34:B36)</f>
        <v>5</v>
      </c>
      <c r="C37" s="585">
        <f t="shared" ref="C37:AD37" si="4">SUM(C34:C36)</f>
        <v>-6</v>
      </c>
      <c r="D37" s="585">
        <f>SUM(D34:D36)</f>
        <v>0</v>
      </c>
      <c r="E37" s="585">
        <f t="shared" si="4"/>
        <v>-4</v>
      </c>
      <c r="F37" s="585">
        <f t="shared" si="4"/>
        <v>-1</v>
      </c>
      <c r="G37" s="585">
        <f t="shared" si="4"/>
        <v>0</v>
      </c>
      <c r="H37" s="585">
        <f t="shared" si="4"/>
        <v>0</v>
      </c>
      <c r="I37" s="585">
        <f t="shared" si="4"/>
        <v>0</v>
      </c>
      <c r="J37" s="585">
        <f t="shared" si="4"/>
        <v>-1</v>
      </c>
      <c r="K37" s="585">
        <f t="shared" si="4"/>
        <v>-1</v>
      </c>
      <c r="L37" s="585">
        <f t="shared" si="4"/>
        <v>-1</v>
      </c>
      <c r="M37" s="585">
        <f t="shared" si="4"/>
        <v>0</v>
      </c>
      <c r="N37" s="585">
        <f t="shared" si="4"/>
        <v>-16</v>
      </c>
      <c r="O37" s="585">
        <f t="shared" si="4"/>
        <v>0</v>
      </c>
      <c r="P37" s="585">
        <f t="shared" si="4"/>
        <v>0</v>
      </c>
      <c r="Q37" s="585">
        <f t="shared" si="4"/>
        <v>7</v>
      </c>
      <c r="R37" s="585">
        <f t="shared" si="4"/>
        <v>-4</v>
      </c>
      <c r="S37" s="585">
        <f t="shared" si="4"/>
        <v>0</v>
      </c>
      <c r="T37" s="585">
        <f t="shared" si="4"/>
        <v>2</v>
      </c>
      <c r="U37" s="585">
        <f t="shared" si="4"/>
        <v>-10</v>
      </c>
      <c r="V37" s="585">
        <f t="shared" si="4"/>
        <v>2</v>
      </c>
      <c r="W37" s="585">
        <f t="shared" si="4"/>
        <v>46</v>
      </c>
      <c r="X37" s="585">
        <f t="shared" si="4"/>
        <v>-3</v>
      </c>
      <c r="Y37" s="585">
        <f t="shared" si="4"/>
        <v>-4</v>
      </c>
      <c r="Z37" s="585">
        <f t="shared" si="4"/>
        <v>-2</v>
      </c>
      <c r="AA37" s="585">
        <f t="shared" si="4"/>
        <v>-1</v>
      </c>
      <c r="AB37" s="585">
        <f t="shared" si="4"/>
        <v>1</v>
      </c>
      <c r="AC37" s="585">
        <f t="shared" si="4"/>
        <v>4</v>
      </c>
      <c r="AD37" s="602">
        <f t="shared" si="4"/>
        <v>-10</v>
      </c>
    </row>
    <row r="38" spans="1:30">
      <c r="A38" s="511" t="str">
        <f>'fiche technique'!A14</f>
        <v>Source: GALAXIE (ANTEE), DGRH A1-1 &amp; DGRH A2, juin 2014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180" t="s">
        <v>243</v>
      </c>
      <c r="B39" s="180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4"/>
      <c r="Z39" s="4"/>
      <c r="AA39" s="4"/>
      <c r="AB39" s="4"/>
      <c r="AC39" s="4"/>
      <c r="AD39" s="4"/>
    </row>
    <row r="40" spans="1:30">
      <c r="A40" s="180" t="s">
        <v>244</v>
      </c>
      <c r="B40" s="180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4"/>
      <c r="Z40" s="4"/>
      <c r="AA40" s="4"/>
      <c r="AB40" s="4"/>
      <c r="AC40" s="4"/>
      <c r="AD40" s="4"/>
    </row>
    <row r="41" spans="1:30">
      <c r="A41" s="180" t="s">
        <v>241</v>
      </c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108"/>
      <c r="D50" s="108"/>
      <c r="E50" s="4"/>
      <c r="F50" s="108"/>
      <c r="G50" s="109"/>
      <c r="H50" s="4"/>
      <c r="I50" s="4"/>
      <c r="J50" s="4"/>
      <c r="K50" s="4"/>
      <c r="L50" s="4"/>
      <c r="M50" s="4"/>
      <c r="N50" s="4"/>
      <c r="O50" s="108"/>
      <c r="P50" s="4"/>
      <c r="Q50" s="4"/>
      <c r="R50" s="109"/>
      <c r="S50" s="108"/>
      <c r="T50" s="4"/>
      <c r="U50" s="4"/>
      <c r="V50" s="4"/>
      <c r="W50" s="109"/>
      <c r="X50" s="4"/>
      <c r="Y50" s="108"/>
      <c r="Z50" s="108"/>
      <c r="AA50" s="108"/>
      <c r="AB50" s="4"/>
      <c r="AC50" s="109"/>
      <c r="AD50" s="4"/>
    </row>
  </sheetData>
  <mergeCells count="3">
    <mergeCell ref="A2:AD2"/>
    <mergeCell ref="A4:AC4"/>
    <mergeCell ref="A5:AC5"/>
  </mergeCells>
  <printOptions horizontalCentered="1"/>
  <pageMargins left="0.19685039370078741" right="0.19685039370078741" top="0.59055118110236227" bottom="0.59055118110236227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Feuil30">
    <tabColor rgb="FFFFFF00"/>
  </sheetPr>
  <dimension ref="A1:AH40"/>
  <sheetViews>
    <sheetView showZeros="0" topLeftCell="A13" workbookViewId="0">
      <selection activeCell="L18" sqref="L18"/>
    </sheetView>
  </sheetViews>
  <sheetFormatPr baseColWidth="10" defaultRowHeight="13.2"/>
  <cols>
    <col min="1" max="1" width="14.44140625" customWidth="1"/>
    <col min="2" max="34" width="4.88671875" customWidth="1"/>
  </cols>
  <sheetData>
    <row r="1" spans="1:34" ht="24" customHeight="1">
      <c r="A1" s="2082" t="str">
        <f>'fiche technique'!A16</f>
        <v xml:space="preserve">Bilan de la campagne 2014 de recrutement et d'affectation des maîtres de conférences et des professeurs des universités </v>
      </c>
      <c r="B1" s="2082"/>
      <c r="C1" s="2082"/>
      <c r="D1" s="2082"/>
      <c r="E1" s="2082"/>
      <c r="F1" s="2082"/>
      <c r="G1" s="2082"/>
      <c r="H1" s="2082"/>
      <c r="I1" s="2082"/>
      <c r="J1" s="2082"/>
      <c r="K1" s="2082"/>
      <c r="L1" s="2082"/>
      <c r="M1" s="2082"/>
      <c r="N1" s="2082"/>
      <c r="O1" s="2082"/>
      <c r="P1" s="2082"/>
      <c r="Q1" s="2082"/>
      <c r="R1" s="2082"/>
      <c r="S1" s="2082"/>
      <c r="T1" s="2082"/>
      <c r="U1" s="2082"/>
      <c r="V1" s="2082"/>
      <c r="W1" s="2082"/>
      <c r="X1" s="2082"/>
      <c r="Y1" s="2082"/>
      <c r="Z1" s="2082"/>
      <c r="AA1" s="2082"/>
      <c r="AB1" s="2082"/>
      <c r="AC1" s="2082"/>
      <c r="AD1" s="2082"/>
      <c r="AE1" s="2082"/>
      <c r="AF1" s="2082"/>
      <c r="AG1" s="1552"/>
      <c r="AH1" s="1525"/>
    </row>
    <row r="2" spans="1:34" ht="24" customHeight="1">
      <c r="A2" s="2082" t="str">
        <f>'[19]fiche technique'!A16</f>
        <v>(session synchronisée - ANTEE)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  <c r="L2" s="2082"/>
      <c r="M2" s="2082"/>
      <c r="N2" s="2082"/>
      <c r="O2" s="2082"/>
      <c r="P2" s="2082"/>
      <c r="Q2" s="2082"/>
      <c r="R2" s="2082"/>
      <c r="S2" s="2082"/>
      <c r="T2" s="2082"/>
      <c r="U2" s="2082"/>
      <c r="V2" s="2082"/>
      <c r="W2" s="2082"/>
      <c r="X2" s="2082"/>
      <c r="Y2" s="2082"/>
      <c r="Z2" s="2082"/>
      <c r="AA2" s="2082"/>
      <c r="AB2" s="2082"/>
      <c r="AC2" s="2082"/>
      <c r="AD2" s="2082"/>
      <c r="AE2" s="2082"/>
      <c r="AF2" s="2082"/>
      <c r="AG2" s="1552"/>
      <c r="AH2" s="1525"/>
    </row>
    <row r="3" spans="1:34" ht="15" customHeight="1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</row>
    <row r="4" spans="1:34" ht="18.75" customHeight="1">
      <c r="A4" s="2084" t="s">
        <v>296</v>
      </c>
      <c r="B4" s="2084"/>
      <c r="C4" s="2084"/>
      <c r="D4" s="2084"/>
      <c r="E4" s="2084"/>
      <c r="F4" s="2084"/>
      <c r="G4" s="2084"/>
      <c r="H4" s="2084"/>
      <c r="I4" s="2084"/>
      <c r="J4" s="2084"/>
      <c r="K4" s="2084"/>
      <c r="L4" s="2084"/>
      <c r="M4" s="2084"/>
      <c r="N4" s="2084"/>
      <c r="O4" s="2084"/>
      <c r="P4" s="2084"/>
      <c r="Q4" s="2084"/>
      <c r="R4" s="2084"/>
      <c r="S4" s="2084"/>
      <c r="T4" s="2084"/>
      <c r="U4" s="2084"/>
      <c r="V4" s="2084"/>
      <c r="W4" s="2084"/>
      <c r="X4" s="2084"/>
      <c r="Y4" s="2084"/>
      <c r="Z4" s="2084"/>
      <c r="AA4" s="2084"/>
      <c r="AB4" s="2084"/>
      <c r="AC4" s="2084"/>
      <c r="AD4" s="2084"/>
      <c r="AE4" s="2084"/>
      <c r="AF4" s="2084"/>
      <c r="AG4" s="1553"/>
      <c r="AH4" s="1526"/>
    </row>
    <row r="5" spans="1:34" ht="18.75" customHeight="1">
      <c r="A5" s="2084" t="s">
        <v>1028</v>
      </c>
      <c r="B5" s="2084"/>
      <c r="C5" s="2084"/>
      <c r="D5" s="2084"/>
      <c r="E5" s="2084"/>
      <c r="F5" s="2084"/>
      <c r="G5" s="2084"/>
      <c r="H5" s="2084"/>
      <c r="I5" s="2084"/>
      <c r="J5" s="2084"/>
      <c r="K5" s="2084"/>
      <c r="L5" s="2084"/>
      <c r="M5" s="2084"/>
      <c r="N5" s="2084"/>
      <c r="O5" s="2084"/>
      <c r="P5" s="2084"/>
      <c r="Q5" s="2084"/>
      <c r="R5" s="2084"/>
      <c r="S5" s="2084"/>
      <c r="T5" s="2084"/>
      <c r="U5" s="2084"/>
      <c r="V5" s="2084"/>
      <c r="W5" s="2084"/>
      <c r="X5" s="2084"/>
      <c r="Y5" s="2084"/>
      <c r="Z5" s="2084"/>
      <c r="AA5" s="2084"/>
      <c r="AB5" s="2084"/>
      <c r="AC5" s="2084"/>
      <c r="AD5" s="2084"/>
      <c r="AE5" s="2084"/>
      <c r="AF5" s="2084"/>
      <c r="AG5" s="1553"/>
      <c r="AH5" s="1526"/>
    </row>
    <row r="6" spans="1:34" ht="15" customHeight="1" thickBo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</row>
    <row r="7" spans="1:34" ht="18.75" customHeight="1" thickBot="1">
      <c r="A7" s="62"/>
      <c r="B7" s="2090" t="s">
        <v>996</v>
      </c>
      <c r="C7" s="2091"/>
      <c r="D7" s="2091"/>
      <c r="E7" s="2091"/>
      <c r="F7" s="2091"/>
      <c r="G7" s="2091"/>
      <c r="H7" s="2091"/>
      <c r="I7" s="2091"/>
      <c r="J7" s="2091"/>
      <c r="K7" s="2091"/>
      <c r="L7" s="2092"/>
      <c r="M7" s="2090" t="s">
        <v>997</v>
      </c>
      <c r="N7" s="2091"/>
      <c r="O7" s="2091"/>
      <c r="P7" s="2091"/>
      <c r="Q7" s="2091"/>
      <c r="R7" s="2091"/>
      <c r="S7" s="2091"/>
      <c r="T7" s="2091"/>
      <c r="U7" s="2091"/>
      <c r="V7" s="2091"/>
      <c r="W7" s="2092"/>
      <c r="X7" s="2090" t="s">
        <v>267</v>
      </c>
      <c r="Y7" s="2091"/>
      <c r="Z7" s="2091"/>
      <c r="AA7" s="2091"/>
      <c r="AB7" s="2091"/>
      <c r="AC7" s="2091"/>
      <c r="AD7" s="2091"/>
      <c r="AE7" s="2091"/>
      <c r="AF7" s="2091"/>
      <c r="AG7" s="2091"/>
      <c r="AH7" s="2092"/>
    </row>
    <row r="8" spans="1:34" ht="21" customHeight="1">
      <c r="A8" s="256" t="s">
        <v>268</v>
      </c>
      <c r="B8" s="252">
        <v>2004</v>
      </c>
      <c r="C8" s="253">
        <v>2005</v>
      </c>
      <c r="D8" s="270">
        <v>2006</v>
      </c>
      <c r="E8" s="318">
        <v>2007</v>
      </c>
      <c r="F8" s="318">
        <v>2008</v>
      </c>
      <c r="G8" s="318">
        <v>2009</v>
      </c>
      <c r="H8" s="318">
        <v>2010</v>
      </c>
      <c r="I8" s="318">
        <v>2011</v>
      </c>
      <c r="J8" s="318">
        <v>2012</v>
      </c>
      <c r="K8" s="318">
        <v>2013</v>
      </c>
      <c r="L8" s="254">
        <v>2014</v>
      </c>
      <c r="M8" s="252">
        <v>2004</v>
      </c>
      <c r="N8" s="253">
        <v>2005</v>
      </c>
      <c r="O8" s="253">
        <v>2006</v>
      </c>
      <c r="P8" s="253">
        <v>2007</v>
      </c>
      <c r="Q8" s="253">
        <v>2008</v>
      </c>
      <c r="R8" s="253">
        <v>2009</v>
      </c>
      <c r="S8" s="253">
        <v>2010</v>
      </c>
      <c r="T8" s="253">
        <v>2011</v>
      </c>
      <c r="U8" s="318">
        <v>2012</v>
      </c>
      <c r="V8" s="318">
        <v>2013</v>
      </c>
      <c r="W8" s="254">
        <v>2014</v>
      </c>
      <c r="X8" s="252">
        <v>2004</v>
      </c>
      <c r="Y8" s="255">
        <v>2005</v>
      </c>
      <c r="Z8" s="270">
        <v>2006</v>
      </c>
      <c r="AA8" s="318">
        <v>2007</v>
      </c>
      <c r="AB8" s="318">
        <v>2008</v>
      </c>
      <c r="AC8" s="318">
        <v>2009</v>
      </c>
      <c r="AD8" s="318">
        <v>2010</v>
      </c>
      <c r="AE8" s="318">
        <v>2011</v>
      </c>
      <c r="AF8" s="318">
        <v>2012</v>
      </c>
      <c r="AG8" s="318">
        <v>2013</v>
      </c>
      <c r="AH8" s="254">
        <v>2014</v>
      </c>
    </row>
    <row r="9" spans="1:34" ht="21" customHeight="1">
      <c r="A9" s="257" t="s">
        <v>269</v>
      </c>
      <c r="B9" s="586">
        <v>2</v>
      </c>
      <c r="C9" s="587">
        <v>0</v>
      </c>
      <c r="D9" s="588">
        <v>5</v>
      </c>
      <c r="E9" s="587">
        <v>4</v>
      </c>
      <c r="F9" s="587"/>
      <c r="G9" s="587">
        <v>4</v>
      </c>
      <c r="H9" s="587">
        <v>-1</v>
      </c>
      <c r="I9" s="587">
        <v>-1</v>
      </c>
      <c r="J9" s="587">
        <v>6</v>
      </c>
      <c r="K9" s="1570"/>
      <c r="L9" s="1530">
        <v>4</v>
      </c>
      <c r="M9" s="586">
        <v>2</v>
      </c>
      <c r="N9" s="587">
        <v>-2</v>
      </c>
      <c r="O9" s="587">
        <v>5</v>
      </c>
      <c r="P9" s="587">
        <v>-2</v>
      </c>
      <c r="Q9" s="587">
        <v>4</v>
      </c>
      <c r="R9" s="587">
        <v>-2</v>
      </c>
      <c r="S9" s="587">
        <v>6</v>
      </c>
      <c r="T9" s="587">
        <v>2</v>
      </c>
      <c r="U9" s="587">
        <v>2</v>
      </c>
      <c r="V9" s="1571">
        <v>1</v>
      </c>
      <c r="W9" s="1528">
        <v>1</v>
      </c>
      <c r="X9" s="948">
        <f t="shared" ref="X9:X37" si="0">B9+M9</f>
        <v>4</v>
      </c>
      <c r="Y9" s="948">
        <f t="shared" ref="Y9:Y37" si="1">C9+N9</f>
        <v>-2</v>
      </c>
      <c r="Z9" s="949">
        <f t="shared" ref="Z9:Z37" si="2">D9+O9</f>
        <v>10</v>
      </c>
      <c r="AA9" s="949">
        <f t="shared" ref="AA9:AA37" si="3">E9+P9</f>
        <v>2</v>
      </c>
      <c r="AB9" s="949">
        <f t="shared" ref="AB9:AB37" si="4">F9+Q9</f>
        <v>4</v>
      </c>
      <c r="AC9" s="949">
        <f t="shared" ref="AC9:AC37" si="5">G9+R9</f>
        <v>2</v>
      </c>
      <c r="AD9" s="949">
        <f t="shared" ref="AD9:AD37" si="6">H9+S9</f>
        <v>5</v>
      </c>
      <c r="AE9" s="949">
        <f t="shared" ref="AE9:AE37" si="7">I9+T9</f>
        <v>1</v>
      </c>
      <c r="AF9" s="1527">
        <f>J9+U9</f>
        <v>8</v>
      </c>
      <c r="AG9" s="1527">
        <f>K9+V9</f>
        <v>1</v>
      </c>
      <c r="AH9" s="1531">
        <f>L9+W9</f>
        <v>5</v>
      </c>
    </row>
    <row r="10" spans="1:34" ht="21" customHeight="1">
      <c r="A10" s="258" t="s">
        <v>270</v>
      </c>
      <c r="B10" s="589"/>
      <c r="C10" s="590">
        <v>-5</v>
      </c>
      <c r="D10" s="591">
        <v>0</v>
      </c>
      <c r="E10" s="590">
        <v>-1</v>
      </c>
      <c r="F10" s="590">
        <v>-4</v>
      </c>
      <c r="G10" s="590">
        <v>-1</v>
      </c>
      <c r="H10" s="590">
        <v>-1</v>
      </c>
      <c r="I10" s="590">
        <v>-6</v>
      </c>
      <c r="J10" s="590">
        <v>-1</v>
      </c>
      <c r="K10" s="590">
        <v>-5</v>
      </c>
      <c r="L10" s="592">
        <v>-5</v>
      </c>
      <c r="M10" s="589">
        <v>-2</v>
      </c>
      <c r="N10" s="590">
        <v>-4</v>
      </c>
      <c r="O10" s="590">
        <v>-8</v>
      </c>
      <c r="P10" s="590">
        <v>-2</v>
      </c>
      <c r="Q10" s="590">
        <v>-5</v>
      </c>
      <c r="R10" s="590">
        <v>-1</v>
      </c>
      <c r="S10" s="590">
        <v>-3</v>
      </c>
      <c r="T10" s="590">
        <v>-4</v>
      </c>
      <c r="U10" s="590"/>
      <c r="V10" s="591"/>
      <c r="W10" s="592">
        <v>-1</v>
      </c>
      <c r="X10" s="950">
        <f t="shared" si="0"/>
        <v>-2</v>
      </c>
      <c r="Y10" s="950">
        <f t="shared" si="1"/>
        <v>-9</v>
      </c>
      <c r="Z10" s="951">
        <f t="shared" si="2"/>
        <v>-8</v>
      </c>
      <c r="AA10" s="951">
        <f t="shared" si="3"/>
        <v>-3</v>
      </c>
      <c r="AB10" s="952">
        <f t="shared" si="4"/>
        <v>-9</v>
      </c>
      <c r="AC10" s="952">
        <f t="shared" si="5"/>
        <v>-2</v>
      </c>
      <c r="AD10" s="952">
        <f t="shared" si="6"/>
        <v>-4</v>
      </c>
      <c r="AE10" s="952">
        <f t="shared" si="7"/>
        <v>-10</v>
      </c>
      <c r="AF10" s="951">
        <f t="shared" ref="AF10:AF37" si="8">J10+U10</f>
        <v>-1</v>
      </c>
      <c r="AG10" s="1527">
        <f t="shared" ref="AG10:AG36" si="9">K10+V10</f>
        <v>-5</v>
      </c>
      <c r="AH10" s="1531">
        <f t="shared" ref="AH10:AH37" si="10">L10+W10</f>
        <v>-6</v>
      </c>
    </row>
    <row r="11" spans="1:34" ht="21" customHeight="1">
      <c r="A11" s="258" t="s">
        <v>540</v>
      </c>
      <c r="B11" s="589">
        <v>-2</v>
      </c>
      <c r="C11" s="590">
        <v>0</v>
      </c>
      <c r="D11" s="591">
        <v>0</v>
      </c>
      <c r="E11" s="590">
        <v>-1</v>
      </c>
      <c r="F11" s="590">
        <v>1</v>
      </c>
      <c r="G11" s="590">
        <v>-3</v>
      </c>
      <c r="H11" s="590">
        <v>-1</v>
      </c>
      <c r="I11" s="590">
        <v>-1</v>
      </c>
      <c r="J11" s="590">
        <v>1</v>
      </c>
      <c r="K11" s="590"/>
      <c r="L11" s="592">
        <v>0</v>
      </c>
      <c r="M11" s="589">
        <v>0</v>
      </c>
      <c r="N11" s="590">
        <v>-3</v>
      </c>
      <c r="O11" s="590">
        <v>-2</v>
      </c>
      <c r="P11" s="590">
        <v>1</v>
      </c>
      <c r="Q11" s="590">
        <v>-2</v>
      </c>
      <c r="R11" s="590">
        <v>-3</v>
      </c>
      <c r="S11" s="590">
        <v>-1</v>
      </c>
      <c r="T11" s="590">
        <v>-2</v>
      </c>
      <c r="U11" s="590">
        <v>-1</v>
      </c>
      <c r="V11" s="591"/>
      <c r="W11" s="592">
        <v>0</v>
      </c>
      <c r="X11" s="950">
        <f t="shared" si="0"/>
        <v>-2</v>
      </c>
      <c r="Y11" s="950">
        <f t="shared" si="1"/>
        <v>-3</v>
      </c>
      <c r="Z11" s="951">
        <f t="shared" si="2"/>
        <v>-2</v>
      </c>
      <c r="AA11" s="951">
        <f t="shared" si="3"/>
        <v>0</v>
      </c>
      <c r="AB11" s="952">
        <f t="shared" si="4"/>
        <v>-1</v>
      </c>
      <c r="AC11" s="952">
        <f t="shared" si="5"/>
        <v>-6</v>
      </c>
      <c r="AD11" s="952">
        <f t="shared" si="6"/>
        <v>-2</v>
      </c>
      <c r="AE11" s="952">
        <f t="shared" si="7"/>
        <v>-3</v>
      </c>
      <c r="AF11" s="951">
        <f t="shared" si="8"/>
        <v>0</v>
      </c>
      <c r="AG11" s="1527">
        <f t="shared" si="9"/>
        <v>0</v>
      </c>
      <c r="AH11" s="1531">
        <f t="shared" si="10"/>
        <v>0</v>
      </c>
    </row>
    <row r="12" spans="1:34" ht="21" customHeight="1">
      <c r="A12" s="258" t="s">
        <v>271</v>
      </c>
      <c r="B12" s="589">
        <v>-3</v>
      </c>
      <c r="C12" s="590">
        <v>-3</v>
      </c>
      <c r="D12" s="591">
        <v>-2</v>
      </c>
      <c r="E12" s="590">
        <v>-1</v>
      </c>
      <c r="F12" s="590">
        <v>-6</v>
      </c>
      <c r="G12" s="590">
        <v>-2</v>
      </c>
      <c r="H12" s="590">
        <v>0</v>
      </c>
      <c r="I12" s="590">
        <v>-2</v>
      </c>
      <c r="J12" s="590">
        <v>-6</v>
      </c>
      <c r="K12" s="590"/>
      <c r="L12" s="592">
        <v>-4</v>
      </c>
      <c r="M12" s="589">
        <v>-1</v>
      </c>
      <c r="N12" s="590">
        <v>-4</v>
      </c>
      <c r="O12" s="590">
        <v>-1</v>
      </c>
      <c r="P12" s="590">
        <v>-1</v>
      </c>
      <c r="Q12" s="590">
        <v>-1</v>
      </c>
      <c r="R12" s="590">
        <v>-3</v>
      </c>
      <c r="S12" s="590">
        <v>-5</v>
      </c>
      <c r="T12" s="590">
        <v>-1</v>
      </c>
      <c r="U12" s="590">
        <v>-6</v>
      </c>
      <c r="V12" s="591">
        <v>-4</v>
      </c>
      <c r="W12" s="592">
        <v>0</v>
      </c>
      <c r="X12" s="950">
        <f t="shared" si="0"/>
        <v>-4</v>
      </c>
      <c r="Y12" s="950">
        <f t="shared" si="1"/>
        <v>-7</v>
      </c>
      <c r="Z12" s="951">
        <f t="shared" si="2"/>
        <v>-3</v>
      </c>
      <c r="AA12" s="951">
        <f t="shared" si="3"/>
        <v>-2</v>
      </c>
      <c r="AB12" s="952">
        <f t="shared" si="4"/>
        <v>-7</v>
      </c>
      <c r="AC12" s="952">
        <f t="shared" si="5"/>
        <v>-5</v>
      </c>
      <c r="AD12" s="952">
        <f t="shared" si="6"/>
        <v>-5</v>
      </c>
      <c r="AE12" s="952">
        <f t="shared" si="7"/>
        <v>-3</v>
      </c>
      <c r="AF12" s="951">
        <f t="shared" si="8"/>
        <v>-12</v>
      </c>
      <c r="AG12" s="1527">
        <f t="shared" si="9"/>
        <v>-4</v>
      </c>
      <c r="AH12" s="1531">
        <f t="shared" si="10"/>
        <v>-4</v>
      </c>
    </row>
    <row r="13" spans="1:34" ht="21" customHeight="1">
      <c r="A13" s="258" t="s">
        <v>272</v>
      </c>
      <c r="B13" s="589">
        <v>2</v>
      </c>
      <c r="C13" s="590">
        <v>1</v>
      </c>
      <c r="D13" s="591">
        <v>0</v>
      </c>
      <c r="E13" s="590">
        <v>2</v>
      </c>
      <c r="F13" s="590">
        <v>-1</v>
      </c>
      <c r="G13" s="590">
        <v>2</v>
      </c>
      <c r="H13" s="590">
        <v>1</v>
      </c>
      <c r="I13" s="590">
        <v>6</v>
      </c>
      <c r="J13" s="590">
        <v>7</v>
      </c>
      <c r="K13" s="590">
        <v>5</v>
      </c>
      <c r="L13" s="592">
        <v>-1</v>
      </c>
      <c r="M13" s="589">
        <v>1</v>
      </c>
      <c r="N13" s="590">
        <v>7</v>
      </c>
      <c r="O13" s="590">
        <v>1</v>
      </c>
      <c r="P13" s="590">
        <v>5</v>
      </c>
      <c r="Q13" s="590">
        <v>4</v>
      </c>
      <c r="R13" s="590">
        <v>4</v>
      </c>
      <c r="S13" s="590">
        <v>2</v>
      </c>
      <c r="T13" s="590">
        <v>2</v>
      </c>
      <c r="U13" s="590">
        <v>5</v>
      </c>
      <c r="V13" s="591">
        <v>2</v>
      </c>
      <c r="W13" s="592">
        <v>0</v>
      </c>
      <c r="X13" s="950">
        <f t="shared" si="0"/>
        <v>3</v>
      </c>
      <c r="Y13" s="950">
        <f t="shared" si="1"/>
        <v>8</v>
      </c>
      <c r="Z13" s="951">
        <f t="shared" si="2"/>
        <v>1</v>
      </c>
      <c r="AA13" s="951">
        <f t="shared" si="3"/>
        <v>7</v>
      </c>
      <c r="AB13" s="952">
        <f t="shared" si="4"/>
        <v>3</v>
      </c>
      <c r="AC13" s="952">
        <f t="shared" si="5"/>
        <v>6</v>
      </c>
      <c r="AD13" s="952">
        <f t="shared" si="6"/>
        <v>3</v>
      </c>
      <c r="AE13" s="952">
        <f t="shared" si="7"/>
        <v>8</v>
      </c>
      <c r="AF13" s="951">
        <f t="shared" si="8"/>
        <v>12</v>
      </c>
      <c r="AG13" s="1527">
        <f t="shared" si="9"/>
        <v>7</v>
      </c>
      <c r="AH13" s="1531">
        <f t="shared" si="10"/>
        <v>-1</v>
      </c>
    </row>
    <row r="14" spans="1:34" ht="21" customHeight="1">
      <c r="A14" s="258" t="s">
        <v>273</v>
      </c>
      <c r="B14" s="589">
        <v>-4</v>
      </c>
      <c r="C14" s="590">
        <v>0</v>
      </c>
      <c r="D14" s="591">
        <v>-4</v>
      </c>
      <c r="E14" s="590">
        <v>-1</v>
      </c>
      <c r="F14" s="590">
        <v>6</v>
      </c>
      <c r="G14" s="590">
        <v>3</v>
      </c>
      <c r="H14" s="590">
        <v>-3</v>
      </c>
      <c r="I14" s="590">
        <v>-5</v>
      </c>
      <c r="J14" s="590">
        <v>-2</v>
      </c>
      <c r="K14" s="590">
        <v>-3</v>
      </c>
      <c r="L14" s="592">
        <v>0</v>
      </c>
      <c r="M14" s="589">
        <v>-2</v>
      </c>
      <c r="N14" s="590">
        <v>0</v>
      </c>
      <c r="O14" s="590">
        <v>0</v>
      </c>
      <c r="P14" s="590">
        <v>-5</v>
      </c>
      <c r="Q14" s="590"/>
      <c r="R14" s="590">
        <v>-3</v>
      </c>
      <c r="S14" s="590">
        <v>-3</v>
      </c>
      <c r="T14" s="590">
        <v>-4</v>
      </c>
      <c r="U14" s="590">
        <v>-1</v>
      </c>
      <c r="V14" s="591">
        <v>-1</v>
      </c>
      <c r="W14" s="592">
        <v>0</v>
      </c>
      <c r="X14" s="950">
        <f t="shared" si="0"/>
        <v>-6</v>
      </c>
      <c r="Y14" s="950">
        <f t="shared" si="1"/>
        <v>0</v>
      </c>
      <c r="Z14" s="951">
        <f t="shared" si="2"/>
        <v>-4</v>
      </c>
      <c r="AA14" s="951">
        <f t="shared" si="3"/>
        <v>-6</v>
      </c>
      <c r="AB14" s="952">
        <f t="shared" si="4"/>
        <v>6</v>
      </c>
      <c r="AC14" s="952">
        <f t="shared" si="5"/>
        <v>0</v>
      </c>
      <c r="AD14" s="952">
        <f t="shared" si="6"/>
        <v>-6</v>
      </c>
      <c r="AE14" s="952">
        <f t="shared" si="7"/>
        <v>-9</v>
      </c>
      <c r="AF14" s="951">
        <f t="shared" si="8"/>
        <v>-3</v>
      </c>
      <c r="AG14" s="1527">
        <f t="shared" si="9"/>
        <v>-4</v>
      </c>
      <c r="AH14" s="1531">
        <f t="shared" si="10"/>
        <v>0</v>
      </c>
    </row>
    <row r="15" spans="1:34" ht="21" customHeight="1">
      <c r="A15" s="258" t="s">
        <v>274</v>
      </c>
      <c r="B15" s="589">
        <v>-1</v>
      </c>
      <c r="C15" s="590">
        <v>-1</v>
      </c>
      <c r="D15" s="591">
        <v>-6</v>
      </c>
      <c r="E15" s="590">
        <v>-5</v>
      </c>
      <c r="F15" s="590">
        <v>-2</v>
      </c>
      <c r="G15" s="590">
        <v>-5</v>
      </c>
      <c r="H15" s="590">
        <v>2</v>
      </c>
      <c r="I15" s="590">
        <v>-4</v>
      </c>
      <c r="J15" s="590">
        <v>-3</v>
      </c>
      <c r="K15" s="590">
        <v>-3</v>
      </c>
      <c r="L15" s="592">
        <v>0</v>
      </c>
      <c r="M15" s="589">
        <v>-2</v>
      </c>
      <c r="N15" s="590">
        <v>1</v>
      </c>
      <c r="O15" s="590">
        <v>-3</v>
      </c>
      <c r="P15" s="590">
        <v>-3</v>
      </c>
      <c r="Q15" s="590">
        <v>3</v>
      </c>
      <c r="R15" s="590">
        <v>-1</v>
      </c>
      <c r="S15" s="590">
        <v>2</v>
      </c>
      <c r="T15" s="590">
        <v>-4</v>
      </c>
      <c r="U15" s="590">
        <v>-3</v>
      </c>
      <c r="V15" s="591">
        <v>1</v>
      </c>
      <c r="W15" s="592">
        <v>0</v>
      </c>
      <c r="X15" s="950">
        <f t="shared" si="0"/>
        <v>-3</v>
      </c>
      <c r="Y15" s="950">
        <f t="shared" si="1"/>
        <v>0</v>
      </c>
      <c r="Z15" s="951">
        <f t="shared" si="2"/>
        <v>-9</v>
      </c>
      <c r="AA15" s="951">
        <f t="shared" si="3"/>
        <v>-8</v>
      </c>
      <c r="AB15" s="952">
        <f t="shared" si="4"/>
        <v>1</v>
      </c>
      <c r="AC15" s="952">
        <f t="shared" si="5"/>
        <v>-6</v>
      </c>
      <c r="AD15" s="952">
        <f t="shared" si="6"/>
        <v>4</v>
      </c>
      <c r="AE15" s="952">
        <f t="shared" si="7"/>
        <v>-8</v>
      </c>
      <c r="AF15" s="951">
        <f t="shared" si="8"/>
        <v>-6</v>
      </c>
      <c r="AG15" s="1527">
        <f t="shared" si="9"/>
        <v>-2</v>
      </c>
      <c r="AH15" s="1531">
        <f t="shared" si="10"/>
        <v>0</v>
      </c>
    </row>
    <row r="16" spans="1:34" ht="21" customHeight="1">
      <c r="A16" s="259" t="s">
        <v>275</v>
      </c>
      <c r="B16" s="589">
        <v>0</v>
      </c>
      <c r="C16" s="590">
        <v>-1</v>
      </c>
      <c r="D16" s="591">
        <v>1</v>
      </c>
      <c r="E16" s="590">
        <v>-1</v>
      </c>
      <c r="F16" s="590"/>
      <c r="G16" s="590">
        <v>-1</v>
      </c>
      <c r="H16" s="590">
        <v>0</v>
      </c>
      <c r="I16" s="590">
        <v>0</v>
      </c>
      <c r="J16" s="590"/>
      <c r="K16" s="590"/>
      <c r="L16" s="592">
        <v>0</v>
      </c>
      <c r="M16" s="589">
        <v>0</v>
      </c>
      <c r="N16" s="590">
        <v>-3</v>
      </c>
      <c r="O16" s="590">
        <v>-1</v>
      </c>
      <c r="P16" s="590">
        <v>1</v>
      </c>
      <c r="Q16" s="590"/>
      <c r="R16" s="590">
        <v>0</v>
      </c>
      <c r="S16" s="590">
        <v>0</v>
      </c>
      <c r="T16" s="590">
        <v>1</v>
      </c>
      <c r="U16" s="590"/>
      <c r="V16" s="591"/>
      <c r="W16" s="592">
        <v>0</v>
      </c>
      <c r="X16" s="950">
        <f t="shared" si="0"/>
        <v>0</v>
      </c>
      <c r="Y16" s="950">
        <f t="shared" si="1"/>
        <v>-4</v>
      </c>
      <c r="Z16" s="951">
        <f t="shared" si="2"/>
        <v>0</v>
      </c>
      <c r="AA16" s="951">
        <f t="shared" si="3"/>
        <v>0</v>
      </c>
      <c r="AB16" s="952">
        <f t="shared" si="4"/>
        <v>0</v>
      </c>
      <c r="AC16" s="952">
        <f t="shared" si="5"/>
        <v>-1</v>
      </c>
      <c r="AD16" s="952">
        <f t="shared" si="6"/>
        <v>0</v>
      </c>
      <c r="AE16" s="952">
        <f t="shared" si="7"/>
        <v>1</v>
      </c>
      <c r="AF16" s="951">
        <f t="shared" si="8"/>
        <v>0</v>
      </c>
      <c r="AG16" s="1527">
        <f t="shared" si="9"/>
        <v>0</v>
      </c>
      <c r="AH16" s="1531">
        <f t="shared" si="10"/>
        <v>0</v>
      </c>
    </row>
    <row r="17" spans="1:34" ht="21" customHeight="1">
      <c r="A17" s="258" t="s">
        <v>276</v>
      </c>
      <c r="B17" s="589">
        <v>1</v>
      </c>
      <c r="C17" s="590">
        <v>2</v>
      </c>
      <c r="D17" s="591">
        <v>6</v>
      </c>
      <c r="E17" s="590">
        <v>1</v>
      </c>
      <c r="F17" s="590">
        <v>3</v>
      </c>
      <c r="G17" s="590">
        <v>-4</v>
      </c>
      <c r="H17" s="590">
        <v>0</v>
      </c>
      <c r="I17" s="590">
        <v>1</v>
      </c>
      <c r="J17" s="590">
        <v>-2</v>
      </c>
      <c r="K17" s="590">
        <v>4</v>
      </c>
      <c r="L17" s="592">
        <v>1</v>
      </c>
      <c r="M17" s="589">
        <v>1</v>
      </c>
      <c r="N17" s="590">
        <v>3</v>
      </c>
      <c r="O17" s="590">
        <v>2</v>
      </c>
      <c r="P17" s="590">
        <v>-7</v>
      </c>
      <c r="Q17" s="590">
        <v>2</v>
      </c>
      <c r="R17" s="590">
        <v>5</v>
      </c>
      <c r="S17" s="590">
        <v>1</v>
      </c>
      <c r="T17" s="590">
        <v>7</v>
      </c>
      <c r="U17" s="590">
        <v>1</v>
      </c>
      <c r="V17" s="591">
        <v>2</v>
      </c>
      <c r="W17" s="592">
        <v>-2</v>
      </c>
      <c r="X17" s="950">
        <f t="shared" si="0"/>
        <v>2</v>
      </c>
      <c r="Y17" s="950">
        <f t="shared" si="1"/>
        <v>5</v>
      </c>
      <c r="Z17" s="951">
        <f t="shared" si="2"/>
        <v>8</v>
      </c>
      <c r="AA17" s="951">
        <f t="shared" si="3"/>
        <v>-6</v>
      </c>
      <c r="AB17" s="952">
        <f t="shared" si="4"/>
        <v>5</v>
      </c>
      <c r="AC17" s="952">
        <f t="shared" si="5"/>
        <v>1</v>
      </c>
      <c r="AD17" s="952">
        <f t="shared" si="6"/>
        <v>1</v>
      </c>
      <c r="AE17" s="952">
        <f t="shared" si="7"/>
        <v>8</v>
      </c>
      <c r="AF17" s="951">
        <f t="shared" si="8"/>
        <v>-1</v>
      </c>
      <c r="AG17" s="1527">
        <f t="shared" si="9"/>
        <v>6</v>
      </c>
      <c r="AH17" s="1531">
        <f t="shared" si="10"/>
        <v>-1</v>
      </c>
    </row>
    <row r="18" spans="1:34" ht="21" customHeight="1">
      <c r="A18" s="259" t="s">
        <v>277</v>
      </c>
      <c r="B18" s="589">
        <v>-3</v>
      </c>
      <c r="C18" s="590">
        <v>2</v>
      </c>
      <c r="D18" s="591">
        <v>1</v>
      </c>
      <c r="E18" s="590">
        <v>-5</v>
      </c>
      <c r="F18" s="590">
        <v>2</v>
      </c>
      <c r="G18" s="590">
        <v>-3</v>
      </c>
      <c r="H18" s="590">
        <v>-1</v>
      </c>
      <c r="I18" s="590">
        <v>-3</v>
      </c>
      <c r="J18" s="590">
        <v>-2</v>
      </c>
      <c r="K18" s="590">
        <v>-2</v>
      </c>
      <c r="L18" s="592">
        <v>-1</v>
      </c>
      <c r="M18" s="589">
        <v>-2</v>
      </c>
      <c r="N18" s="590">
        <v>-3</v>
      </c>
      <c r="O18" s="590">
        <v>-1</v>
      </c>
      <c r="P18" s="590">
        <v>-1</v>
      </c>
      <c r="Q18" s="590">
        <v>-1</v>
      </c>
      <c r="R18" s="590">
        <v>1</v>
      </c>
      <c r="S18" s="590">
        <v>-2</v>
      </c>
      <c r="T18" s="590">
        <v>-2</v>
      </c>
      <c r="U18" s="590">
        <v>-4</v>
      </c>
      <c r="V18" s="591">
        <v>-1</v>
      </c>
      <c r="W18" s="592">
        <v>0</v>
      </c>
      <c r="X18" s="950">
        <f t="shared" si="0"/>
        <v>-5</v>
      </c>
      <c r="Y18" s="950">
        <f t="shared" si="1"/>
        <v>-1</v>
      </c>
      <c r="Z18" s="951">
        <f t="shared" si="2"/>
        <v>0</v>
      </c>
      <c r="AA18" s="951">
        <f t="shared" si="3"/>
        <v>-6</v>
      </c>
      <c r="AB18" s="952">
        <f t="shared" si="4"/>
        <v>1</v>
      </c>
      <c r="AC18" s="952">
        <f t="shared" si="5"/>
        <v>-2</v>
      </c>
      <c r="AD18" s="952">
        <f t="shared" si="6"/>
        <v>-3</v>
      </c>
      <c r="AE18" s="952">
        <f t="shared" si="7"/>
        <v>-5</v>
      </c>
      <c r="AF18" s="951">
        <f t="shared" si="8"/>
        <v>-6</v>
      </c>
      <c r="AG18" s="1527">
        <f t="shared" si="9"/>
        <v>-3</v>
      </c>
      <c r="AH18" s="1531">
        <f t="shared" si="10"/>
        <v>-1</v>
      </c>
    </row>
    <row r="19" spans="1:34" ht="21" customHeight="1">
      <c r="A19" s="258" t="s">
        <v>278</v>
      </c>
      <c r="B19" s="589">
        <v>-3</v>
      </c>
      <c r="C19" s="590">
        <v>-3</v>
      </c>
      <c r="D19" s="591">
        <v>-6</v>
      </c>
      <c r="E19" s="590">
        <v>-2</v>
      </c>
      <c r="F19" s="590">
        <v>-3</v>
      </c>
      <c r="G19" s="590">
        <v>-4</v>
      </c>
      <c r="H19" s="590">
        <v>-2</v>
      </c>
      <c r="I19" s="590">
        <v>-1</v>
      </c>
      <c r="J19" s="590">
        <v>-3</v>
      </c>
      <c r="K19" s="590">
        <v>-3</v>
      </c>
      <c r="L19" s="592">
        <v>-4</v>
      </c>
      <c r="M19" s="589">
        <v>2</v>
      </c>
      <c r="N19" s="590">
        <v>3</v>
      </c>
      <c r="O19" s="590">
        <v>6</v>
      </c>
      <c r="P19" s="590">
        <v>0</v>
      </c>
      <c r="Q19" s="590">
        <v>5</v>
      </c>
      <c r="R19" s="590">
        <v>-3</v>
      </c>
      <c r="S19" s="590">
        <v>5</v>
      </c>
      <c r="T19" s="590">
        <v>1</v>
      </c>
      <c r="U19" s="590">
        <v>-4</v>
      </c>
      <c r="V19" s="591">
        <v>-4</v>
      </c>
      <c r="W19" s="592">
        <v>3</v>
      </c>
      <c r="X19" s="950">
        <f t="shared" si="0"/>
        <v>-1</v>
      </c>
      <c r="Y19" s="950">
        <f t="shared" si="1"/>
        <v>0</v>
      </c>
      <c r="Z19" s="951">
        <f t="shared" si="2"/>
        <v>0</v>
      </c>
      <c r="AA19" s="951">
        <f t="shared" si="3"/>
        <v>-2</v>
      </c>
      <c r="AB19" s="952">
        <f t="shared" si="4"/>
        <v>2</v>
      </c>
      <c r="AC19" s="952">
        <f t="shared" si="5"/>
        <v>-7</v>
      </c>
      <c r="AD19" s="952">
        <f t="shared" si="6"/>
        <v>3</v>
      </c>
      <c r="AE19" s="952">
        <f t="shared" si="7"/>
        <v>0</v>
      </c>
      <c r="AF19" s="951">
        <f t="shared" si="8"/>
        <v>-7</v>
      </c>
      <c r="AG19" s="1527">
        <f t="shared" si="9"/>
        <v>-7</v>
      </c>
      <c r="AH19" s="1531">
        <f t="shared" si="10"/>
        <v>-1</v>
      </c>
    </row>
    <row r="20" spans="1:34" ht="21" customHeight="1">
      <c r="A20" s="259" t="s">
        <v>279</v>
      </c>
      <c r="B20" s="589">
        <v>2</v>
      </c>
      <c r="C20" s="590">
        <v>-1</v>
      </c>
      <c r="D20" s="591">
        <v>1</v>
      </c>
      <c r="E20" s="590">
        <v>1</v>
      </c>
      <c r="F20" s="590">
        <v>-1</v>
      </c>
      <c r="G20" s="590">
        <v>0</v>
      </c>
      <c r="H20" s="590">
        <v>0</v>
      </c>
      <c r="I20" s="590">
        <v>1</v>
      </c>
      <c r="J20" s="590">
        <v>-3</v>
      </c>
      <c r="K20" s="590">
        <v>-1</v>
      </c>
      <c r="L20" s="592">
        <v>0</v>
      </c>
      <c r="M20" s="589">
        <v>-3</v>
      </c>
      <c r="N20" s="590">
        <v>-3</v>
      </c>
      <c r="O20" s="590">
        <v>-2</v>
      </c>
      <c r="P20" s="590">
        <v>-2</v>
      </c>
      <c r="Q20" s="590">
        <v>-2</v>
      </c>
      <c r="R20" s="590">
        <v>-1</v>
      </c>
      <c r="S20" s="590">
        <v>-1</v>
      </c>
      <c r="T20" s="590">
        <v>0</v>
      </c>
      <c r="U20" s="590">
        <v>-1</v>
      </c>
      <c r="V20" s="591">
        <v>-1</v>
      </c>
      <c r="W20" s="592">
        <v>0</v>
      </c>
      <c r="X20" s="950">
        <f t="shared" si="0"/>
        <v>-1</v>
      </c>
      <c r="Y20" s="950">
        <f t="shared" si="1"/>
        <v>-4</v>
      </c>
      <c r="Z20" s="951">
        <f t="shared" si="2"/>
        <v>-1</v>
      </c>
      <c r="AA20" s="951">
        <f t="shared" si="3"/>
        <v>-1</v>
      </c>
      <c r="AB20" s="952">
        <f t="shared" si="4"/>
        <v>-3</v>
      </c>
      <c r="AC20" s="952">
        <f t="shared" si="5"/>
        <v>-1</v>
      </c>
      <c r="AD20" s="952">
        <f t="shared" si="6"/>
        <v>-1</v>
      </c>
      <c r="AE20" s="952">
        <f t="shared" si="7"/>
        <v>1</v>
      </c>
      <c r="AF20" s="951">
        <f t="shared" si="8"/>
        <v>-4</v>
      </c>
      <c r="AG20" s="1527">
        <f t="shared" si="9"/>
        <v>-2</v>
      </c>
      <c r="AH20" s="1531">
        <f t="shared" si="10"/>
        <v>0</v>
      </c>
    </row>
    <row r="21" spans="1:34" ht="21" customHeight="1">
      <c r="A21" s="258" t="s">
        <v>280</v>
      </c>
      <c r="B21" s="589">
        <v>-12</v>
      </c>
      <c r="C21" s="590">
        <v>-12</v>
      </c>
      <c r="D21" s="591">
        <v>-9</v>
      </c>
      <c r="E21" s="590">
        <v>-11</v>
      </c>
      <c r="F21" s="590">
        <v>-10</v>
      </c>
      <c r="G21" s="590">
        <v>-15</v>
      </c>
      <c r="H21" s="590">
        <v>-5</v>
      </c>
      <c r="I21" s="590">
        <v>-6</v>
      </c>
      <c r="J21" s="590">
        <v>-8</v>
      </c>
      <c r="K21" s="590">
        <v>-14</v>
      </c>
      <c r="L21" s="592">
        <v>-8</v>
      </c>
      <c r="M21" s="589">
        <v>-5</v>
      </c>
      <c r="N21" s="590">
        <v>-5</v>
      </c>
      <c r="O21" s="590">
        <v>-10</v>
      </c>
      <c r="P21" s="590">
        <v>-7</v>
      </c>
      <c r="Q21" s="590">
        <v>-6</v>
      </c>
      <c r="R21" s="590">
        <v>-8</v>
      </c>
      <c r="S21" s="590">
        <v>-9</v>
      </c>
      <c r="T21" s="590">
        <v>-4</v>
      </c>
      <c r="U21" s="590">
        <v>-8</v>
      </c>
      <c r="V21" s="591">
        <v>-5</v>
      </c>
      <c r="W21" s="592">
        <v>-8</v>
      </c>
      <c r="X21" s="950">
        <f t="shared" si="0"/>
        <v>-17</v>
      </c>
      <c r="Y21" s="950">
        <f t="shared" si="1"/>
        <v>-17</v>
      </c>
      <c r="Z21" s="951">
        <f t="shared" si="2"/>
        <v>-19</v>
      </c>
      <c r="AA21" s="951">
        <f t="shared" si="3"/>
        <v>-18</v>
      </c>
      <c r="AB21" s="952">
        <f t="shared" si="4"/>
        <v>-16</v>
      </c>
      <c r="AC21" s="952">
        <f t="shared" si="5"/>
        <v>-23</v>
      </c>
      <c r="AD21" s="952">
        <f t="shared" si="6"/>
        <v>-14</v>
      </c>
      <c r="AE21" s="952">
        <f t="shared" si="7"/>
        <v>-10</v>
      </c>
      <c r="AF21" s="951">
        <f t="shared" si="8"/>
        <v>-16</v>
      </c>
      <c r="AG21" s="1527">
        <f t="shared" si="9"/>
        <v>-19</v>
      </c>
      <c r="AH21" s="1531">
        <f t="shared" si="10"/>
        <v>-16</v>
      </c>
    </row>
    <row r="22" spans="1:34" ht="21" customHeight="1">
      <c r="A22" s="258" t="s">
        <v>281</v>
      </c>
      <c r="B22" s="589">
        <v>0</v>
      </c>
      <c r="C22" s="590">
        <v>-3</v>
      </c>
      <c r="D22" s="591">
        <v>-2</v>
      </c>
      <c r="E22" s="590">
        <v>1</v>
      </c>
      <c r="F22" s="590">
        <v>-4</v>
      </c>
      <c r="G22" s="590">
        <v>1</v>
      </c>
      <c r="H22" s="590">
        <v>-3</v>
      </c>
      <c r="I22" s="590">
        <v>-2</v>
      </c>
      <c r="J22" s="590">
        <v>-1</v>
      </c>
      <c r="K22" s="590"/>
      <c r="L22" s="592">
        <v>0</v>
      </c>
      <c r="M22" s="589">
        <v>-1</v>
      </c>
      <c r="N22" s="590">
        <v>0</v>
      </c>
      <c r="O22" s="590">
        <v>0</v>
      </c>
      <c r="P22" s="590">
        <v>-3</v>
      </c>
      <c r="Q22" s="590">
        <v>-1</v>
      </c>
      <c r="R22" s="590">
        <v>-1</v>
      </c>
      <c r="S22" s="590">
        <v>-2</v>
      </c>
      <c r="T22" s="590">
        <v>1</v>
      </c>
      <c r="U22" s="590">
        <v>1</v>
      </c>
      <c r="V22" s="591">
        <v>-1</v>
      </c>
      <c r="W22" s="592">
        <v>0</v>
      </c>
      <c r="X22" s="950">
        <f t="shared" si="0"/>
        <v>-1</v>
      </c>
      <c r="Y22" s="950">
        <f t="shared" si="1"/>
        <v>-3</v>
      </c>
      <c r="Z22" s="951">
        <f t="shared" si="2"/>
        <v>-2</v>
      </c>
      <c r="AA22" s="951">
        <f t="shared" si="3"/>
        <v>-2</v>
      </c>
      <c r="AB22" s="952">
        <f t="shared" si="4"/>
        <v>-5</v>
      </c>
      <c r="AC22" s="952">
        <f t="shared" si="5"/>
        <v>0</v>
      </c>
      <c r="AD22" s="952">
        <f t="shared" si="6"/>
        <v>-5</v>
      </c>
      <c r="AE22" s="952">
        <f t="shared" si="7"/>
        <v>-1</v>
      </c>
      <c r="AF22" s="951">
        <f t="shared" si="8"/>
        <v>0</v>
      </c>
      <c r="AG22" s="1527">
        <f t="shared" si="9"/>
        <v>-1</v>
      </c>
      <c r="AH22" s="1531">
        <f t="shared" si="10"/>
        <v>0</v>
      </c>
    </row>
    <row r="23" spans="1:34" ht="21" customHeight="1">
      <c r="A23" s="258" t="s">
        <v>282</v>
      </c>
      <c r="B23" s="589">
        <v>7</v>
      </c>
      <c r="C23" s="590">
        <v>-6</v>
      </c>
      <c r="D23" s="591">
        <v>1</v>
      </c>
      <c r="E23" s="590">
        <v>0</v>
      </c>
      <c r="F23" s="590">
        <v>2</v>
      </c>
      <c r="G23" s="590">
        <v>1</v>
      </c>
      <c r="H23" s="590">
        <v>1</v>
      </c>
      <c r="I23" s="590">
        <v>0</v>
      </c>
      <c r="J23" s="590">
        <v>-1</v>
      </c>
      <c r="K23" s="590">
        <v>3</v>
      </c>
      <c r="L23" s="592">
        <v>0</v>
      </c>
      <c r="M23" s="589">
        <v>-1</v>
      </c>
      <c r="N23" s="590">
        <v>2</v>
      </c>
      <c r="O23" s="590">
        <v>3</v>
      </c>
      <c r="P23" s="590">
        <v>-3</v>
      </c>
      <c r="Q23" s="590">
        <v>5</v>
      </c>
      <c r="R23" s="590">
        <v>1</v>
      </c>
      <c r="S23" s="590">
        <v>-1</v>
      </c>
      <c r="T23" s="590">
        <v>5</v>
      </c>
      <c r="U23" s="590">
        <v>-1</v>
      </c>
      <c r="V23" s="591">
        <v>7</v>
      </c>
      <c r="W23" s="592">
        <v>0</v>
      </c>
      <c r="X23" s="950">
        <f t="shared" si="0"/>
        <v>6</v>
      </c>
      <c r="Y23" s="950">
        <f t="shared" si="1"/>
        <v>-4</v>
      </c>
      <c r="Z23" s="951">
        <f t="shared" si="2"/>
        <v>4</v>
      </c>
      <c r="AA23" s="951">
        <f t="shared" si="3"/>
        <v>-3</v>
      </c>
      <c r="AB23" s="952">
        <f t="shared" si="4"/>
        <v>7</v>
      </c>
      <c r="AC23" s="952">
        <f t="shared" si="5"/>
        <v>2</v>
      </c>
      <c r="AD23" s="952">
        <f t="shared" si="6"/>
        <v>0</v>
      </c>
      <c r="AE23" s="952">
        <f t="shared" si="7"/>
        <v>5</v>
      </c>
      <c r="AF23" s="951">
        <f t="shared" si="8"/>
        <v>-2</v>
      </c>
      <c r="AG23" s="1527">
        <f t="shared" si="9"/>
        <v>10</v>
      </c>
      <c r="AH23" s="1531">
        <f t="shared" si="10"/>
        <v>0</v>
      </c>
    </row>
    <row r="24" spans="1:34" ht="21" customHeight="1">
      <c r="A24" s="258" t="s">
        <v>283</v>
      </c>
      <c r="B24" s="589">
        <v>-2</v>
      </c>
      <c r="C24" s="590">
        <v>6</v>
      </c>
      <c r="D24" s="591">
        <v>-5</v>
      </c>
      <c r="E24" s="590">
        <v>-2</v>
      </c>
      <c r="F24" s="590">
        <v>-2</v>
      </c>
      <c r="G24" s="590">
        <v>6</v>
      </c>
      <c r="H24" s="590">
        <v>-5</v>
      </c>
      <c r="I24" s="590">
        <v>3</v>
      </c>
      <c r="J24" s="590">
        <v>1</v>
      </c>
      <c r="K24" s="590">
        <v>6</v>
      </c>
      <c r="L24" s="592">
        <v>5</v>
      </c>
      <c r="M24" s="589">
        <v>8</v>
      </c>
      <c r="N24" s="590">
        <v>8</v>
      </c>
      <c r="O24" s="590">
        <v>4</v>
      </c>
      <c r="P24" s="590">
        <v>2</v>
      </c>
      <c r="Q24" s="590">
        <v>6</v>
      </c>
      <c r="R24" s="590">
        <v>5</v>
      </c>
      <c r="S24" s="590">
        <v>5</v>
      </c>
      <c r="T24" s="590">
        <v>6</v>
      </c>
      <c r="U24" s="590">
        <v>12</v>
      </c>
      <c r="V24" s="591">
        <v>4</v>
      </c>
      <c r="W24" s="592">
        <v>2</v>
      </c>
      <c r="X24" s="950">
        <f t="shared" si="0"/>
        <v>6</v>
      </c>
      <c r="Y24" s="950">
        <f t="shared" si="1"/>
        <v>14</v>
      </c>
      <c r="Z24" s="951">
        <f t="shared" si="2"/>
        <v>-1</v>
      </c>
      <c r="AA24" s="951">
        <f t="shared" si="3"/>
        <v>0</v>
      </c>
      <c r="AB24" s="952">
        <f t="shared" si="4"/>
        <v>4</v>
      </c>
      <c r="AC24" s="952">
        <f t="shared" si="5"/>
        <v>11</v>
      </c>
      <c r="AD24" s="952">
        <f t="shared" si="6"/>
        <v>0</v>
      </c>
      <c r="AE24" s="952">
        <f t="shared" si="7"/>
        <v>9</v>
      </c>
      <c r="AF24" s="951">
        <f t="shared" si="8"/>
        <v>13</v>
      </c>
      <c r="AG24" s="1527">
        <f t="shared" si="9"/>
        <v>10</v>
      </c>
      <c r="AH24" s="1531">
        <f t="shared" si="10"/>
        <v>7</v>
      </c>
    </row>
    <row r="25" spans="1:34" ht="21" customHeight="1">
      <c r="A25" s="258" t="s">
        <v>284</v>
      </c>
      <c r="B25" s="589">
        <v>-9</v>
      </c>
      <c r="C25" s="590">
        <v>-4</v>
      </c>
      <c r="D25" s="591">
        <v>-7</v>
      </c>
      <c r="E25" s="590">
        <v>-4</v>
      </c>
      <c r="F25" s="590">
        <v>-2</v>
      </c>
      <c r="G25" s="590">
        <v>-6</v>
      </c>
      <c r="H25" s="590">
        <v>-1</v>
      </c>
      <c r="I25" s="590">
        <v>-5</v>
      </c>
      <c r="J25" s="590">
        <v>-5</v>
      </c>
      <c r="K25" s="590">
        <v>-9</v>
      </c>
      <c r="L25" s="592">
        <v>-1</v>
      </c>
      <c r="M25" s="589">
        <v>-9</v>
      </c>
      <c r="N25" s="590">
        <v>-3</v>
      </c>
      <c r="O25" s="590">
        <v>-7</v>
      </c>
      <c r="P25" s="590">
        <v>3</v>
      </c>
      <c r="Q25" s="590">
        <v>-4</v>
      </c>
      <c r="R25" s="590">
        <v>2</v>
      </c>
      <c r="S25" s="590">
        <v>1</v>
      </c>
      <c r="T25" s="590">
        <v>0</v>
      </c>
      <c r="U25" s="590">
        <v>-1</v>
      </c>
      <c r="V25" s="591">
        <v>1</v>
      </c>
      <c r="W25" s="592">
        <v>-3</v>
      </c>
      <c r="X25" s="950">
        <f t="shared" si="0"/>
        <v>-18</v>
      </c>
      <c r="Y25" s="950">
        <f t="shared" si="1"/>
        <v>-7</v>
      </c>
      <c r="Z25" s="951">
        <f t="shared" si="2"/>
        <v>-14</v>
      </c>
      <c r="AA25" s="951">
        <f t="shared" si="3"/>
        <v>-1</v>
      </c>
      <c r="AB25" s="952">
        <f t="shared" si="4"/>
        <v>-6</v>
      </c>
      <c r="AC25" s="952">
        <f t="shared" si="5"/>
        <v>-4</v>
      </c>
      <c r="AD25" s="952">
        <f t="shared" si="6"/>
        <v>0</v>
      </c>
      <c r="AE25" s="952">
        <f t="shared" si="7"/>
        <v>-5</v>
      </c>
      <c r="AF25" s="951">
        <f t="shared" si="8"/>
        <v>-6</v>
      </c>
      <c r="AG25" s="1527">
        <f t="shared" si="9"/>
        <v>-8</v>
      </c>
      <c r="AH25" s="1531">
        <f t="shared" si="10"/>
        <v>-4</v>
      </c>
    </row>
    <row r="26" spans="1:34" ht="21" customHeight="1">
      <c r="A26" s="258" t="s">
        <v>285</v>
      </c>
      <c r="B26" s="589">
        <v>-9</v>
      </c>
      <c r="C26" s="590">
        <v>-3</v>
      </c>
      <c r="D26" s="591">
        <v>1</v>
      </c>
      <c r="E26" s="590">
        <v>-6</v>
      </c>
      <c r="F26" s="590">
        <v>-3</v>
      </c>
      <c r="G26" s="590">
        <v>-9</v>
      </c>
      <c r="H26" s="590">
        <v>-3</v>
      </c>
      <c r="I26" s="590">
        <v>-7</v>
      </c>
      <c r="J26" s="590">
        <v>2</v>
      </c>
      <c r="K26" s="590">
        <v>-2</v>
      </c>
      <c r="L26" s="592">
        <v>-1</v>
      </c>
      <c r="M26" s="589">
        <v>0</v>
      </c>
      <c r="N26" s="590">
        <v>-1</v>
      </c>
      <c r="O26" s="590">
        <v>4</v>
      </c>
      <c r="P26" s="590">
        <v>-4</v>
      </c>
      <c r="Q26" s="590">
        <v>-1</v>
      </c>
      <c r="R26" s="590">
        <v>-1</v>
      </c>
      <c r="S26" s="590">
        <v>-11</v>
      </c>
      <c r="T26" s="590">
        <v>-8</v>
      </c>
      <c r="U26" s="590">
        <v>-3</v>
      </c>
      <c r="V26" s="591">
        <v>-5</v>
      </c>
      <c r="W26" s="592">
        <v>1</v>
      </c>
      <c r="X26" s="950">
        <f t="shared" si="0"/>
        <v>-9</v>
      </c>
      <c r="Y26" s="950">
        <f t="shared" si="1"/>
        <v>-4</v>
      </c>
      <c r="Z26" s="951">
        <f t="shared" si="2"/>
        <v>5</v>
      </c>
      <c r="AA26" s="951">
        <f t="shared" si="3"/>
        <v>-10</v>
      </c>
      <c r="AB26" s="952">
        <f t="shared" si="4"/>
        <v>-4</v>
      </c>
      <c r="AC26" s="952">
        <f t="shared" si="5"/>
        <v>-10</v>
      </c>
      <c r="AD26" s="952">
        <f t="shared" si="6"/>
        <v>-14</v>
      </c>
      <c r="AE26" s="952">
        <f t="shared" si="7"/>
        <v>-15</v>
      </c>
      <c r="AF26" s="951">
        <f t="shared" si="8"/>
        <v>-1</v>
      </c>
      <c r="AG26" s="1527">
        <f t="shared" si="9"/>
        <v>-7</v>
      </c>
      <c r="AH26" s="1531">
        <f t="shared" si="10"/>
        <v>0</v>
      </c>
    </row>
    <row r="27" spans="1:34" ht="21" customHeight="1">
      <c r="A27" s="258" t="s">
        <v>286</v>
      </c>
      <c r="B27" s="589">
        <v>1</v>
      </c>
      <c r="C27" s="590">
        <v>2</v>
      </c>
      <c r="D27" s="591">
        <v>-3</v>
      </c>
      <c r="E27" s="590">
        <v>3</v>
      </c>
      <c r="F27" s="590">
        <v>-2</v>
      </c>
      <c r="G27" s="590">
        <v>3</v>
      </c>
      <c r="H27" s="590">
        <v>-2</v>
      </c>
      <c r="I27" s="590">
        <v>-2</v>
      </c>
      <c r="J27" s="590">
        <v>1</v>
      </c>
      <c r="K27" s="590">
        <v>3</v>
      </c>
      <c r="L27" s="592">
        <v>0</v>
      </c>
      <c r="M27" s="589">
        <v>-2</v>
      </c>
      <c r="N27" s="590">
        <v>4</v>
      </c>
      <c r="O27" s="590">
        <v>-3</v>
      </c>
      <c r="P27" s="590">
        <v>3</v>
      </c>
      <c r="Q27" s="590">
        <v>-2</v>
      </c>
      <c r="R27" s="590">
        <v>-5</v>
      </c>
      <c r="S27" s="590">
        <v>-2</v>
      </c>
      <c r="T27" s="590">
        <v>-3</v>
      </c>
      <c r="U27" s="590"/>
      <c r="V27" s="591"/>
      <c r="W27" s="592">
        <v>2</v>
      </c>
      <c r="X27" s="950">
        <f t="shared" si="0"/>
        <v>-1</v>
      </c>
      <c r="Y27" s="950">
        <f t="shared" si="1"/>
        <v>6</v>
      </c>
      <c r="Z27" s="951">
        <f t="shared" si="2"/>
        <v>-6</v>
      </c>
      <c r="AA27" s="951">
        <f t="shared" si="3"/>
        <v>6</v>
      </c>
      <c r="AB27" s="952">
        <f t="shared" si="4"/>
        <v>-4</v>
      </c>
      <c r="AC27" s="952">
        <f t="shared" si="5"/>
        <v>-2</v>
      </c>
      <c r="AD27" s="952">
        <f t="shared" si="6"/>
        <v>-4</v>
      </c>
      <c r="AE27" s="952">
        <f t="shared" si="7"/>
        <v>-5</v>
      </c>
      <c r="AF27" s="951">
        <f t="shared" si="8"/>
        <v>1</v>
      </c>
      <c r="AG27" s="1527">
        <f t="shared" si="9"/>
        <v>3</v>
      </c>
      <c r="AH27" s="1531">
        <f t="shared" si="10"/>
        <v>2</v>
      </c>
    </row>
    <row r="28" spans="1:34" ht="21" customHeight="1">
      <c r="A28" s="259" t="s">
        <v>287</v>
      </c>
      <c r="B28" s="589">
        <v>-4</v>
      </c>
      <c r="C28" s="590">
        <v>2</v>
      </c>
      <c r="D28" s="591">
        <v>-4</v>
      </c>
      <c r="E28" s="590">
        <v>-1</v>
      </c>
      <c r="F28" s="590">
        <v>-6</v>
      </c>
      <c r="G28" s="590">
        <v>-3</v>
      </c>
      <c r="H28" s="590">
        <v>-8</v>
      </c>
      <c r="I28" s="590">
        <v>-5</v>
      </c>
      <c r="J28" s="590">
        <v>-3</v>
      </c>
      <c r="K28" s="590">
        <v>-4</v>
      </c>
      <c r="L28" s="592">
        <v>-8</v>
      </c>
      <c r="M28" s="589">
        <v>-2</v>
      </c>
      <c r="N28" s="590">
        <v>-2</v>
      </c>
      <c r="O28" s="590">
        <v>-1</v>
      </c>
      <c r="P28" s="590">
        <v>1</v>
      </c>
      <c r="Q28" s="590">
        <v>-10</v>
      </c>
      <c r="R28" s="590">
        <v>5</v>
      </c>
      <c r="S28" s="590">
        <v>-1</v>
      </c>
      <c r="T28" s="590">
        <v>-6</v>
      </c>
      <c r="U28" s="590">
        <v>-1</v>
      </c>
      <c r="V28" s="591">
        <v>-8</v>
      </c>
      <c r="W28" s="592">
        <v>-2</v>
      </c>
      <c r="X28" s="950">
        <f t="shared" si="0"/>
        <v>-6</v>
      </c>
      <c r="Y28" s="950">
        <f t="shared" si="1"/>
        <v>0</v>
      </c>
      <c r="Z28" s="951">
        <f t="shared" si="2"/>
        <v>-5</v>
      </c>
      <c r="AA28" s="951">
        <f t="shared" si="3"/>
        <v>0</v>
      </c>
      <c r="AB28" s="952">
        <f t="shared" si="4"/>
        <v>-16</v>
      </c>
      <c r="AC28" s="952">
        <f t="shared" si="5"/>
        <v>2</v>
      </c>
      <c r="AD28" s="952">
        <f t="shared" si="6"/>
        <v>-9</v>
      </c>
      <c r="AE28" s="952">
        <f t="shared" si="7"/>
        <v>-11</v>
      </c>
      <c r="AF28" s="951">
        <f t="shared" si="8"/>
        <v>-4</v>
      </c>
      <c r="AG28" s="1527">
        <f t="shared" si="9"/>
        <v>-12</v>
      </c>
      <c r="AH28" s="1531">
        <f t="shared" si="10"/>
        <v>-10</v>
      </c>
    </row>
    <row r="29" spans="1:34" ht="21" customHeight="1">
      <c r="A29" s="258" t="s">
        <v>1015</v>
      </c>
      <c r="B29" s="589"/>
      <c r="C29" s="589">
        <v>0</v>
      </c>
      <c r="D29" s="590">
        <v>0</v>
      </c>
      <c r="E29" s="590">
        <v>-1</v>
      </c>
      <c r="F29" s="590">
        <v>1</v>
      </c>
      <c r="G29" s="1962">
        <v>0</v>
      </c>
      <c r="H29" s="590">
        <v>0</v>
      </c>
      <c r="I29" s="590">
        <v>0</v>
      </c>
      <c r="J29" s="590"/>
      <c r="K29" s="590"/>
      <c r="L29" s="592">
        <v>1</v>
      </c>
      <c r="M29" s="589">
        <v>1</v>
      </c>
      <c r="N29" s="591">
        <v>0</v>
      </c>
      <c r="O29" s="591">
        <v>0</v>
      </c>
      <c r="P29" s="591">
        <v>-1</v>
      </c>
      <c r="Q29" s="591">
        <v>2</v>
      </c>
      <c r="R29" s="590">
        <v>-1</v>
      </c>
      <c r="S29" s="590">
        <v>0</v>
      </c>
      <c r="T29" s="590">
        <v>0</v>
      </c>
      <c r="U29" s="590"/>
      <c r="V29" s="591">
        <v>1</v>
      </c>
      <c r="W29" s="592">
        <v>1</v>
      </c>
      <c r="X29" s="950">
        <f t="shared" si="0"/>
        <v>1</v>
      </c>
      <c r="Y29" s="950">
        <f t="shared" si="1"/>
        <v>0</v>
      </c>
      <c r="Z29" s="951">
        <f t="shared" si="2"/>
        <v>0</v>
      </c>
      <c r="AA29" s="951">
        <f t="shared" si="3"/>
        <v>-2</v>
      </c>
      <c r="AB29" s="952">
        <f t="shared" si="4"/>
        <v>3</v>
      </c>
      <c r="AC29" s="952">
        <f t="shared" si="5"/>
        <v>-1</v>
      </c>
      <c r="AD29" s="952">
        <f t="shared" si="6"/>
        <v>0</v>
      </c>
      <c r="AE29" s="952">
        <f t="shared" si="7"/>
        <v>0</v>
      </c>
      <c r="AF29" s="951">
        <f t="shared" si="8"/>
        <v>0</v>
      </c>
      <c r="AG29" s="1527">
        <f t="shared" si="9"/>
        <v>1</v>
      </c>
      <c r="AH29" s="1531">
        <f t="shared" si="10"/>
        <v>2</v>
      </c>
    </row>
    <row r="30" spans="1:34" ht="21" customHeight="1">
      <c r="A30" s="258" t="s">
        <v>288</v>
      </c>
      <c r="B30" s="589">
        <v>36</v>
      </c>
      <c r="C30" s="590">
        <v>30</v>
      </c>
      <c r="D30" s="591">
        <v>33</v>
      </c>
      <c r="E30" s="590">
        <v>43</v>
      </c>
      <c r="F30" s="590">
        <v>34</v>
      </c>
      <c r="G30" s="590">
        <v>40</v>
      </c>
      <c r="H30" s="590">
        <v>48</v>
      </c>
      <c r="I30" s="590">
        <v>41</v>
      </c>
      <c r="J30" s="590">
        <v>49</v>
      </c>
      <c r="K30" s="590">
        <v>37</v>
      </c>
      <c r="L30" s="592">
        <v>37</v>
      </c>
      <c r="M30" s="589">
        <v>18</v>
      </c>
      <c r="N30" s="590">
        <v>24</v>
      </c>
      <c r="O30" s="590">
        <v>21</v>
      </c>
      <c r="P30" s="590">
        <v>19</v>
      </c>
      <c r="Q30" s="590">
        <v>14</v>
      </c>
      <c r="R30" s="590">
        <v>16</v>
      </c>
      <c r="S30" s="590">
        <v>21</v>
      </c>
      <c r="T30" s="590">
        <v>15</v>
      </c>
      <c r="U30" s="590">
        <v>20</v>
      </c>
      <c r="V30" s="591">
        <v>1</v>
      </c>
      <c r="W30" s="592">
        <v>9</v>
      </c>
      <c r="X30" s="950">
        <f t="shared" si="0"/>
        <v>54</v>
      </c>
      <c r="Y30" s="950">
        <f t="shared" si="1"/>
        <v>54</v>
      </c>
      <c r="Z30" s="951">
        <f t="shared" si="2"/>
        <v>54</v>
      </c>
      <c r="AA30" s="951">
        <f t="shared" si="3"/>
        <v>62</v>
      </c>
      <c r="AB30" s="952">
        <f t="shared" si="4"/>
        <v>48</v>
      </c>
      <c r="AC30" s="952">
        <f t="shared" si="5"/>
        <v>56</v>
      </c>
      <c r="AD30" s="952">
        <f t="shared" si="6"/>
        <v>69</v>
      </c>
      <c r="AE30" s="952">
        <f t="shared" si="7"/>
        <v>56</v>
      </c>
      <c r="AF30" s="951">
        <f t="shared" si="8"/>
        <v>69</v>
      </c>
      <c r="AG30" s="1527">
        <f t="shared" si="9"/>
        <v>38</v>
      </c>
      <c r="AH30" s="1531">
        <f t="shared" si="10"/>
        <v>46</v>
      </c>
    </row>
    <row r="31" spans="1:34" ht="21" customHeight="1">
      <c r="A31" s="258" t="s">
        <v>289</v>
      </c>
      <c r="B31" s="589">
        <v>-4</v>
      </c>
      <c r="C31" s="590">
        <v>-2</v>
      </c>
      <c r="D31" s="591">
        <v>-2</v>
      </c>
      <c r="E31" s="590">
        <v>-5</v>
      </c>
      <c r="F31" s="590">
        <v>-3</v>
      </c>
      <c r="G31" s="590">
        <v>1</v>
      </c>
      <c r="H31" s="590">
        <v>-9</v>
      </c>
      <c r="I31" s="590">
        <v>-6</v>
      </c>
      <c r="J31" s="590">
        <v>-6</v>
      </c>
      <c r="K31" s="590">
        <v>-6</v>
      </c>
      <c r="L31" s="592">
        <v>-4</v>
      </c>
      <c r="M31" s="589">
        <v>1</v>
      </c>
      <c r="N31" s="590">
        <v>2</v>
      </c>
      <c r="O31" s="590">
        <v>0</v>
      </c>
      <c r="P31" s="590">
        <v>2</v>
      </c>
      <c r="Q31" s="590">
        <v>1</v>
      </c>
      <c r="R31" s="590">
        <v>-1</v>
      </c>
      <c r="S31" s="590">
        <v>1</v>
      </c>
      <c r="T31" s="590">
        <v>-3</v>
      </c>
      <c r="U31" s="590"/>
      <c r="V31" s="591">
        <v>2</v>
      </c>
      <c r="W31" s="592">
        <v>1</v>
      </c>
      <c r="X31" s="950">
        <f t="shared" si="0"/>
        <v>-3</v>
      </c>
      <c r="Y31" s="950">
        <f t="shared" si="1"/>
        <v>0</v>
      </c>
      <c r="Z31" s="951">
        <f t="shared" si="2"/>
        <v>-2</v>
      </c>
      <c r="AA31" s="951">
        <f t="shared" si="3"/>
        <v>-3</v>
      </c>
      <c r="AB31" s="952">
        <f t="shared" si="4"/>
        <v>-2</v>
      </c>
      <c r="AC31" s="952">
        <f t="shared" si="5"/>
        <v>0</v>
      </c>
      <c r="AD31" s="952">
        <f t="shared" si="6"/>
        <v>-8</v>
      </c>
      <c r="AE31" s="952">
        <f t="shared" si="7"/>
        <v>-9</v>
      </c>
      <c r="AF31" s="951">
        <f t="shared" si="8"/>
        <v>-6</v>
      </c>
      <c r="AG31" s="1527">
        <f t="shared" si="9"/>
        <v>-4</v>
      </c>
      <c r="AH31" s="1531">
        <f t="shared" si="10"/>
        <v>-3</v>
      </c>
    </row>
    <row r="32" spans="1:34" ht="21" customHeight="1">
      <c r="A32" s="258" t="s">
        <v>290</v>
      </c>
      <c r="B32" s="589">
        <v>-1</v>
      </c>
      <c r="C32" s="590">
        <v>0</v>
      </c>
      <c r="D32" s="591">
        <v>-2</v>
      </c>
      <c r="E32" s="590">
        <v>-1</v>
      </c>
      <c r="F32" s="590">
        <v>-1</v>
      </c>
      <c r="G32" s="590">
        <v>-5</v>
      </c>
      <c r="H32" s="590">
        <v>-2</v>
      </c>
      <c r="I32" s="590">
        <v>-2</v>
      </c>
      <c r="J32" s="590">
        <v>-3</v>
      </c>
      <c r="K32" s="590">
        <v>-2</v>
      </c>
      <c r="L32" s="592">
        <v>-1</v>
      </c>
      <c r="M32" s="589">
        <v>-4</v>
      </c>
      <c r="N32" s="590">
        <v>-6</v>
      </c>
      <c r="O32" s="590">
        <v>-2</v>
      </c>
      <c r="P32" s="590">
        <v>1</v>
      </c>
      <c r="Q32" s="590"/>
      <c r="R32" s="590">
        <v>-7</v>
      </c>
      <c r="S32" s="590">
        <v>-3</v>
      </c>
      <c r="T32" s="590">
        <v>-2</v>
      </c>
      <c r="U32" s="590">
        <v>-2</v>
      </c>
      <c r="V32" s="591"/>
      <c r="W32" s="592">
        <v>-3</v>
      </c>
      <c r="X32" s="950">
        <f t="shared" si="0"/>
        <v>-5</v>
      </c>
      <c r="Y32" s="950">
        <f t="shared" si="1"/>
        <v>-6</v>
      </c>
      <c r="Z32" s="951">
        <f t="shared" si="2"/>
        <v>-4</v>
      </c>
      <c r="AA32" s="951">
        <f t="shared" si="3"/>
        <v>0</v>
      </c>
      <c r="AB32" s="952">
        <f t="shared" si="4"/>
        <v>-1</v>
      </c>
      <c r="AC32" s="952">
        <f t="shared" si="5"/>
        <v>-12</v>
      </c>
      <c r="AD32" s="952">
        <f t="shared" si="6"/>
        <v>-5</v>
      </c>
      <c r="AE32" s="952">
        <f t="shared" si="7"/>
        <v>-4</v>
      </c>
      <c r="AF32" s="951">
        <f t="shared" si="8"/>
        <v>-5</v>
      </c>
      <c r="AG32" s="1527">
        <f t="shared" si="9"/>
        <v>-2</v>
      </c>
      <c r="AH32" s="1531">
        <f t="shared" si="10"/>
        <v>-4</v>
      </c>
    </row>
    <row r="33" spans="1:34" ht="21" customHeight="1">
      <c r="A33" s="258" t="s">
        <v>291</v>
      </c>
      <c r="B33" s="589">
        <v>1</v>
      </c>
      <c r="C33" s="590">
        <v>-10</v>
      </c>
      <c r="D33" s="591">
        <v>-5</v>
      </c>
      <c r="E33" s="590">
        <v>-8</v>
      </c>
      <c r="F33" s="590">
        <v>-5</v>
      </c>
      <c r="G33" s="590">
        <v>-6</v>
      </c>
      <c r="H33" s="590">
        <v>0</v>
      </c>
      <c r="I33" s="590">
        <v>-1</v>
      </c>
      <c r="J33" s="590">
        <v>-3</v>
      </c>
      <c r="K33" s="590">
        <v>-7</v>
      </c>
      <c r="L33" s="592">
        <v>-3</v>
      </c>
      <c r="M33" s="589">
        <v>-3</v>
      </c>
      <c r="N33" s="590">
        <v>-5</v>
      </c>
      <c r="O33" s="590">
        <v>1</v>
      </c>
      <c r="P33" s="590">
        <v>-6</v>
      </c>
      <c r="Q33" s="590">
        <v>-1</v>
      </c>
      <c r="R33" s="590">
        <v>2</v>
      </c>
      <c r="S33" s="590">
        <v>-4</v>
      </c>
      <c r="T33" s="590">
        <v>0</v>
      </c>
      <c r="U33" s="590"/>
      <c r="V33" s="591">
        <v>2</v>
      </c>
      <c r="W33" s="592">
        <v>1</v>
      </c>
      <c r="X33" s="950">
        <f t="shared" si="0"/>
        <v>-2</v>
      </c>
      <c r="Y33" s="950">
        <f t="shared" si="1"/>
        <v>-15</v>
      </c>
      <c r="Z33" s="951">
        <f t="shared" si="2"/>
        <v>-4</v>
      </c>
      <c r="AA33" s="951">
        <f t="shared" si="3"/>
        <v>-14</v>
      </c>
      <c r="AB33" s="952">
        <f t="shared" si="4"/>
        <v>-6</v>
      </c>
      <c r="AC33" s="952">
        <f t="shared" si="5"/>
        <v>-4</v>
      </c>
      <c r="AD33" s="952">
        <f t="shared" si="6"/>
        <v>-4</v>
      </c>
      <c r="AE33" s="952">
        <f t="shared" si="7"/>
        <v>-1</v>
      </c>
      <c r="AF33" s="951">
        <f t="shared" si="8"/>
        <v>-3</v>
      </c>
      <c r="AG33" s="1527">
        <f t="shared" si="9"/>
        <v>-5</v>
      </c>
      <c r="AH33" s="1531">
        <f t="shared" si="10"/>
        <v>-2</v>
      </c>
    </row>
    <row r="34" spans="1:34" ht="21" customHeight="1">
      <c r="A34" s="258" t="s">
        <v>292</v>
      </c>
      <c r="B34" s="589">
        <v>-6</v>
      </c>
      <c r="C34" s="590">
        <v>-4</v>
      </c>
      <c r="D34" s="591">
        <v>-2</v>
      </c>
      <c r="E34" s="590">
        <v>-5</v>
      </c>
      <c r="F34" s="590">
        <v>-8</v>
      </c>
      <c r="G34" s="590">
        <v>-5</v>
      </c>
      <c r="H34" s="590">
        <v>-3</v>
      </c>
      <c r="I34" s="590">
        <v>-1</v>
      </c>
      <c r="J34" s="590">
        <v>-4</v>
      </c>
      <c r="K34" s="590">
        <v>-4</v>
      </c>
      <c r="L34" s="592">
        <v>-1</v>
      </c>
      <c r="M34" s="589">
        <v>-4</v>
      </c>
      <c r="N34" s="590">
        <v>-5</v>
      </c>
      <c r="O34" s="590">
        <v>-2</v>
      </c>
      <c r="P34" s="590">
        <v>1</v>
      </c>
      <c r="Q34" s="590">
        <v>-4</v>
      </c>
      <c r="R34" s="590">
        <v>0</v>
      </c>
      <c r="S34" s="590">
        <v>-3</v>
      </c>
      <c r="T34" s="590">
        <v>-2</v>
      </c>
      <c r="U34" s="590">
        <v>1</v>
      </c>
      <c r="V34" s="591">
        <v>-2</v>
      </c>
      <c r="W34" s="592">
        <v>0</v>
      </c>
      <c r="X34" s="950">
        <f t="shared" si="0"/>
        <v>-10</v>
      </c>
      <c r="Y34" s="950">
        <f t="shared" si="1"/>
        <v>-9</v>
      </c>
      <c r="Z34" s="951">
        <f t="shared" si="2"/>
        <v>-4</v>
      </c>
      <c r="AA34" s="951">
        <f t="shared" si="3"/>
        <v>-4</v>
      </c>
      <c r="AB34" s="952">
        <f t="shared" si="4"/>
        <v>-12</v>
      </c>
      <c r="AC34" s="952">
        <f t="shared" si="5"/>
        <v>-5</v>
      </c>
      <c r="AD34" s="952">
        <f t="shared" si="6"/>
        <v>-6</v>
      </c>
      <c r="AE34" s="952">
        <f t="shared" si="7"/>
        <v>-3</v>
      </c>
      <c r="AF34" s="951">
        <f t="shared" si="8"/>
        <v>-3</v>
      </c>
      <c r="AG34" s="1527">
        <f t="shared" si="9"/>
        <v>-6</v>
      </c>
      <c r="AH34" s="1531">
        <f t="shared" si="10"/>
        <v>-1</v>
      </c>
    </row>
    <row r="35" spans="1:34" ht="21" customHeight="1">
      <c r="A35" s="258" t="s">
        <v>293</v>
      </c>
      <c r="B35" s="589"/>
      <c r="C35" s="590">
        <v>4</v>
      </c>
      <c r="D35" s="591">
        <v>2</v>
      </c>
      <c r="E35" s="590">
        <v>-1</v>
      </c>
      <c r="F35" s="590">
        <v>-1</v>
      </c>
      <c r="G35" s="590">
        <v>4</v>
      </c>
      <c r="H35" s="590">
        <v>-2</v>
      </c>
      <c r="I35" s="590">
        <v>2</v>
      </c>
      <c r="J35" s="590">
        <v>-3</v>
      </c>
      <c r="K35" s="590">
        <v>2</v>
      </c>
      <c r="L35" s="592">
        <v>0</v>
      </c>
      <c r="M35" s="589">
        <v>-4</v>
      </c>
      <c r="N35" s="590">
        <v>-8</v>
      </c>
      <c r="O35" s="590">
        <v>-5</v>
      </c>
      <c r="P35" s="590">
        <v>3</v>
      </c>
      <c r="Q35" s="590">
        <v>-1</v>
      </c>
      <c r="R35" s="590">
        <v>2</v>
      </c>
      <c r="S35" s="590">
        <v>3</v>
      </c>
      <c r="T35" s="590">
        <v>1</v>
      </c>
      <c r="U35" s="590">
        <v>-1</v>
      </c>
      <c r="V35" s="591">
        <v>-3</v>
      </c>
      <c r="W35" s="592">
        <v>1</v>
      </c>
      <c r="X35" s="950">
        <f t="shared" si="0"/>
        <v>-4</v>
      </c>
      <c r="Y35" s="950">
        <f t="shared" si="1"/>
        <v>-4</v>
      </c>
      <c r="Z35" s="951">
        <f t="shared" si="2"/>
        <v>-3</v>
      </c>
      <c r="AA35" s="951">
        <f t="shared" si="3"/>
        <v>2</v>
      </c>
      <c r="AB35" s="952">
        <f t="shared" si="4"/>
        <v>-2</v>
      </c>
      <c r="AC35" s="952">
        <f t="shared" si="5"/>
        <v>6</v>
      </c>
      <c r="AD35" s="952">
        <f t="shared" si="6"/>
        <v>1</v>
      </c>
      <c r="AE35" s="952">
        <f t="shared" si="7"/>
        <v>3</v>
      </c>
      <c r="AF35" s="951">
        <f t="shared" si="8"/>
        <v>-4</v>
      </c>
      <c r="AG35" s="1527">
        <f t="shared" si="9"/>
        <v>-1</v>
      </c>
      <c r="AH35" s="1531">
        <f t="shared" si="10"/>
        <v>1</v>
      </c>
    </row>
    <row r="36" spans="1:34" ht="21" customHeight="1">
      <c r="A36" s="258" t="s">
        <v>294</v>
      </c>
      <c r="B36" s="589">
        <v>-1</v>
      </c>
      <c r="C36" s="590">
        <v>5</v>
      </c>
      <c r="D36" s="591">
        <v>6</v>
      </c>
      <c r="E36" s="590">
        <v>-4</v>
      </c>
      <c r="F36" s="590">
        <v>2</v>
      </c>
      <c r="G36" s="590">
        <v>-5</v>
      </c>
      <c r="H36" s="590">
        <v>1</v>
      </c>
      <c r="I36" s="590">
        <v>-1</v>
      </c>
      <c r="J36" s="590">
        <v>-3</v>
      </c>
      <c r="K36" s="590">
        <v>-2</v>
      </c>
      <c r="L36" s="592">
        <v>3</v>
      </c>
      <c r="M36" s="589">
        <v>3</v>
      </c>
      <c r="N36" s="590">
        <v>8</v>
      </c>
      <c r="O36" s="590">
        <v>4</v>
      </c>
      <c r="P36" s="590">
        <v>6</v>
      </c>
      <c r="Q36" s="590">
        <v>-2</v>
      </c>
      <c r="R36" s="590">
        <v>0</v>
      </c>
      <c r="S36" s="590">
        <v>1</v>
      </c>
      <c r="T36" s="590">
        <v>8</v>
      </c>
      <c r="U36" s="590">
        <v>-1</v>
      </c>
      <c r="V36" s="591">
        <v>3</v>
      </c>
      <c r="W36" s="592">
        <v>1</v>
      </c>
      <c r="X36" s="950">
        <f t="shared" si="0"/>
        <v>2</v>
      </c>
      <c r="Y36" s="950">
        <f t="shared" si="1"/>
        <v>13</v>
      </c>
      <c r="Z36" s="951">
        <f t="shared" si="2"/>
        <v>10</v>
      </c>
      <c r="AA36" s="951">
        <f t="shared" si="3"/>
        <v>2</v>
      </c>
      <c r="AB36" s="952">
        <f t="shared" si="4"/>
        <v>0</v>
      </c>
      <c r="AC36" s="952">
        <f t="shared" si="5"/>
        <v>-5</v>
      </c>
      <c r="AD36" s="952">
        <f t="shared" si="6"/>
        <v>2</v>
      </c>
      <c r="AE36" s="952">
        <f t="shared" si="7"/>
        <v>7</v>
      </c>
      <c r="AF36" s="951">
        <f t="shared" si="8"/>
        <v>-4</v>
      </c>
      <c r="AG36" s="1527">
        <f t="shared" si="9"/>
        <v>1</v>
      </c>
      <c r="AH36" s="1531">
        <f t="shared" si="10"/>
        <v>4</v>
      </c>
    </row>
    <row r="37" spans="1:34" ht="21" customHeight="1" thickBot="1">
      <c r="A37" s="260" t="s">
        <v>295</v>
      </c>
      <c r="B37" s="593">
        <v>12</v>
      </c>
      <c r="C37" s="594">
        <v>4</v>
      </c>
      <c r="D37" s="595">
        <v>2</v>
      </c>
      <c r="E37" s="594">
        <v>11</v>
      </c>
      <c r="F37" s="594">
        <v>13</v>
      </c>
      <c r="G37" s="594">
        <v>12</v>
      </c>
      <c r="H37" s="594">
        <v>-1</v>
      </c>
      <c r="I37" s="594">
        <v>7</v>
      </c>
      <c r="J37" s="594">
        <v>-5</v>
      </c>
      <c r="K37" s="594">
        <v>7</v>
      </c>
      <c r="L37" s="596">
        <v>-6</v>
      </c>
      <c r="M37" s="597">
        <v>9</v>
      </c>
      <c r="N37" s="594">
        <v>-5</v>
      </c>
      <c r="O37" s="594">
        <v>-3</v>
      </c>
      <c r="P37" s="594">
        <v>-1</v>
      </c>
      <c r="Q37" s="594">
        <v>-3</v>
      </c>
      <c r="R37" s="594">
        <v>-2</v>
      </c>
      <c r="S37" s="594">
        <v>3</v>
      </c>
      <c r="T37" s="594">
        <v>-4</v>
      </c>
      <c r="U37" s="594">
        <v>-4</v>
      </c>
      <c r="V37" s="1572">
        <v>8</v>
      </c>
      <c r="W37" s="1529">
        <v>-4</v>
      </c>
      <c r="X37" s="953">
        <f t="shared" si="0"/>
        <v>21</v>
      </c>
      <c r="Y37" s="954">
        <f t="shared" si="1"/>
        <v>-1</v>
      </c>
      <c r="Z37" s="954">
        <f t="shared" si="2"/>
        <v>-1</v>
      </c>
      <c r="AA37" s="954">
        <f t="shared" si="3"/>
        <v>10</v>
      </c>
      <c r="AB37" s="955">
        <f t="shared" si="4"/>
        <v>10</v>
      </c>
      <c r="AC37" s="955">
        <f t="shared" si="5"/>
        <v>10</v>
      </c>
      <c r="AD37" s="955">
        <f t="shared" si="6"/>
        <v>2</v>
      </c>
      <c r="AE37" s="955">
        <f t="shared" si="7"/>
        <v>3</v>
      </c>
      <c r="AF37" s="954">
        <f t="shared" si="8"/>
        <v>-9</v>
      </c>
      <c r="AG37" s="954">
        <f>K37+V37</f>
        <v>15</v>
      </c>
      <c r="AH37" s="956">
        <f t="shared" si="10"/>
        <v>-10</v>
      </c>
    </row>
    <row r="38" spans="1:34">
      <c r="A38" s="409" t="str">
        <f>'fiche technique'!A14</f>
        <v>Source: GALAXIE (ANTEE), DGRH A1-1 &amp; DGRH A2, juin 2014</v>
      </c>
      <c r="F38" s="251"/>
      <c r="G38" s="251"/>
      <c r="H38" s="251"/>
      <c r="I38" s="251"/>
      <c r="J38" s="251"/>
      <c r="K38" s="251"/>
      <c r="L38" s="251"/>
      <c r="M38" s="251"/>
      <c r="N38" s="251"/>
      <c r="O38" s="251"/>
      <c r="P38" s="251"/>
      <c r="AF38" s="1151">
        <f>SUM(AF9:AF37)</f>
        <v>0</v>
      </c>
      <c r="AG38" s="1151"/>
      <c r="AH38" s="1151"/>
    </row>
    <row r="39" spans="1:34">
      <c r="A39" s="2089" t="s">
        <v>1029</v>
      </c>
      <c r="B39" s="2089"/>
      <c r="C39" s="2089"/>
      <c r="D39" s="2089"/>
      <c r="E39" s="2089"/>
      <c r="F39" s="2089"/>
      <c r="G39" s="2089"/>
      <c r="H39" s="2089"/>
      <c r="I39" s="2089"/>
      <c r="J39" s="251"/>
      <c r="K39" s="251"/>
      <c r="L39" s="251"/>
      <c r="M39" s="251"/>
      <c r="N39" s="251"/>
      <c r="O39" s="251"/>
      <c r="P39" s="251"/>
      <c r="Q39" s="251"/>
      <c r="R39" s="251"/>
      <c r="S39" s="251"/>
      <c r="T39" s="251"/>
      <c r="U39" s="251"/>
      <c r="V39" s="251"/>
      <c r="W39" s="251"/>
      <c r="X39" s="251"/>
      <c r="Y39" s="251">
        <f>SUM(Y9:Y37)</f>
        <v>0</v>
      </c>
      <c r="Z39" s="251">
        <f>SUM(Z9:Z37)</f>
        <v>0</v>
      </c>
    </row>
    <row r="40" spans="1:34">
      <c r="B40" s="251"/>
      <c r="C40" s="251"/>
      <c r="D40" s="251"/>
      <c r="E40" s="251"/>
      <c r="F40" s="251"/>
      <c r="G40" s="251"/>
      <c r="H40" s="251"/>
      <c r="I40" s="251"/>
      <c r="J40" s="251"/>
      <c r="K40" s="251"/>
      <c r="L40" s="251"/>
      <c r="M40" s="251"/>
      <c r="N40" s="251"/>
      <c r="O40" s="251"/>
      <c r="P40" s="251"/>
      <c r="Q40" s="251"/>
      <c r="R40" s="251"/>
      <c r="S40" s="251"/>
      <c r="T40" s="251"/>
      <c r="U40" s="251"/>
      <c r="V40" s="251"/>
      <c r="W40" s="251"/>
      <c r="X40" s="251"/>
      <c r="Y40" s="251"/>
      <c r="Z40" s="251"/>
    </row>
  </sheetData>
  <mergeCells count="8">
    <mergeCell ref="A39:I39"/>
    <mergeCell ref="A1:AF1"/>
    <mergeCell ref="A2:AF2"/>
    <mergeCell ref="A4:AF4"/>
    <mergeCell ref="A5:AF5"/>
    <mergeCell ref="M7:W7"/>
    <mergeCell ref="X7:AH7"/>
    <mergeCell ref="B7:L7"/>
  </mergeCells>
  <printOptions horizontalCentered="1"/>
  <pageMargins left="0.19685039370078741" right="0.19685039370078741" top="0.59055118110236227" bottom="0" header="0.31496062992125984" footer="0.31496062992125984"/>
  <pageSetup paperSize="9" scale="70" orientation="landscape" r:id="rId1"/>
  <headerFooter alignWithMargins="0">
    <oddHeader>&amp;LDGRH A1-1</oddHeader>
    <oddFooter>&amp;CPage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Feuil31">
    <tabColor rgb="FF00B050"/>
  </sheetPr>
  <dimension ref="A1:I798"/>
  <sheetViews>
    <sheetView topLeftCell="A21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9" ht="13.8" thickBot="1">
      <c r="B17" s="273"/>
      <c r="C17" s="273"/>
      <c r="D17" s="273"/>
    </row>
    <row r="18" spans="1:9" ht="16.2" thickTop="1">
      <c r="B18" s="2094" t="s">
        <v>376</v>
      </c>
      <c r="C18" s="2095"/>
      <c r="D18" s="2095"/>
      <c r="E18" s="2096"/>
      <c r="F18" s="2096"/>
      <c r="G18" s="2096"/>
      <c r="H18" s="2096"/>
      <c r="I18" s="2097"/>
    </row>
    <row r="19" spans="1:9" ht="16.5" customHeight="1" thickBot="1">
      <c r="B19" s="2098" t="s">
        <v>546</v>
      </c>
      <c r="C19" s="2099"/>
      <c r="D19" s="2099"/>
      <c r="E19" s="2099"/>
      <c r="F19" s="2099"/>
      <c r="G19" s="2099"/>
      <c r="H19" s="2099"/>
      <c r="I19" s="2100"/>
    </row>
    <row r="20" spans="1:9" ht="13.8" thickTop="1">
      <c r="B20" s="273"/>
      <c r="C20" s="273"/>
      <c r="D20" s="273"/>
    </row>
    <row r="21" spans="1:9" ht="13.5" customHeight="1">
      <c r="B21" s="1883"/>
      <c r="C21" s="1883"/>
      <c r="D21" s="1883"/>
      <c r="E21" s="1933"/>
      <c r="F21" s="1933"/>
      <c r="G21" s="1933"/>
      <c r="H21" s="1933"/>
      <c r="I21" s="1933"/>
    </row>
    <row r="22" spans="1:9" ht="21" customHeight="1">
      <c r="B22" s="2101" t="s">
        <v>716</v>
      </c>
      <c r="C22" s="2101"/>
      <c r="D22" s="2101"/>
      <c r="E22" s="2101"/>
      <c r="F22" s="2101"/>
      <c r="G22" s="2101"/>
      <c r="H22" s="2101"/>
      <c r="I22" s="2101"/>
    </row>
    <row r="23" spans="1:9">
      <c r="B23" s="274"/>
      <c r="C23" s="274"/>
      <c r="D23" s="274"/>
    </row>
    <row r="24" spans="1:9">
      <c r="B24" s="274"/>
      <c r="C24" s="274"/>
      <c r="D24" s="274"/>
    </row>
    <row r="25" spans="1:9">
      <c r="B25" s="274"/>
      <c r="C25" s="274"/>
      <c r="D25" s="274"/>
    </row>
    <row r="26" spans="1:9">
      <c r="B26" s="273"/>
      <c r="C26" s="273"/>
      <c r="D26" s="273"/>
    </row>
    <row r="27" spans="1:9" ht="19.5" customHeight="1">
      <c r="B27" s="1881"/>
      <c r="C27" s="1882"/>
      <c r="D27" s="1882"/>
      <c r="E27" s="1857"/>
      <c r="F27" s="1857"/>
      <c r="G27" s="1857"/>
      <c r="H27" s="1857"/>
      <c r="I27" s="1857"/>
    </row>
    <row r="28" spans="1:9" ht="19.5" customHeight="1">
      <c r="B28" s="1881"/>
      <c r="C28" s="1882"/>
      <c r="D28" s="1882"/>
      <c r="E28" s="1857"/>
      <c r="F28" s="1857"/>
      <c r="G28" s="1857"/>
      <c r="H28" s="1857"/>
      <c r="I28" s="1857"/>
    </row>
    <row r="29" spans="1:9">
      <c r="A29" s="1919"/>
      <c r="B29" s="273"/>
      <c r="C29" s="273"/>
      <c r="D29" s="273"/>
      <c r="E29" s="1919"/>
      <c r="F29" s="1919"/>
    </row>
    <row r="30" spans="1:9">
      <c r="B30" s="273"/>
      <c r="C30" s="273"/>
      <c r="D30" s="273"/>
    </row>
    <row r="31" spans="1:9" ht="15.6">
      <c r="B31" s="273"/>
      <c r="C31" s="273"/>
      <c r="D31" s="273"/>
      <c r="E31" s="276"/>
    </row>
    <row r="32" spans="1:9">
      <c r="B32" s="273"/>
      <c r="C32" s="661" t="s">
        <v>377</v>
      </c>
      <c r="D32" s="273"/>
    </row>
    <row r="33" spans="2:9">
      <c r="B33" s="273"/>
      <c r="C33" s="661" t="s">
        <v>378</v>
      </c>
      <c r="D33" s="273"/>
    </row>
    <row r="34" spans="2:9">
      <c r="B34" s="273"/>
      <c r="C34" s="661" t="s">
        <v>379</v>
      </c>
      <c r="D34" s="273"/>
    </row>
    <row r="35" spans="2:9">
      <c r="B35" s="273"/>
      <c r="C35" s="661" t="s">
        <v>945</v>
      </c>
      <c r="D35" s="273"/>
    </row>
    <row r="36" spans="2:9">
      <c r="B36" s="273"/>
      <c r="C36" s="277"/>
      <c r="D36" s="273"/>
    </row>
    <row r="37" spans="2:9">
      <c r="B37" s="273"/>
      <c r="C37" s="278"/>
      <c r="D37" s="279"/>
      <c r="E37" s="280"/>
      <c r="F37" s="280"/>
      <c r="G37" s="280"/>
      <c r="H37" s="280"/>
      <c r="I37" s="280"/>
    </row>
    <row r="38" spans="2:9">
      <c r="B38" s="273"/>
      <c r="C38" s="273"/>
      <c r="D38" s="273"/>
    </row>
    <row r="39" spans="2:9">
      <c r="B39" s="273"/>
      <c r="C39" s="273"/>
      <c r="D39" s="273"/>
    </row>
    <row r="40" spans="2:9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</row>
    <row r="43" spans="2:9">
      <c r="B43" s="273"/>
      <c r="C43" s="273"/>
      <c r="D43" s="273"/>
    </row>
    <row r="44" spans="2:9">
      <c r="B44" s="273"/>
      <c r="C44" s="273"/>
      <c r="D44" s="273"/>
    </row>
    <row r="45" spans="2:9">
      <c r="B45" s="273"/>
      <c r="C45" s="273"/>
      <c r="D45" s="273"/>
      <c r="F45" s="2001"/>
      <c r="G45" s="2001"/>
      <c r="H45" s="2001"/>
    </row>
    <row r="46" spans="2:9" ht="19.5" customHeight="1">
      <c r="B46" s="1992" t="s">
        <v>324</v>
      </c>
      <c r="C46" s="1992"/>
      <c r="D46" s="1992"/>
      <c r="E46" s="1992"/>
      <c r="F46" s="1992"/>
      <c r="G46" s="1992"/>
      <c r="H46" s="1992"/>
      <c r="I46" s="1992"/>
    </row>
    <row r="47" spans="2:9" ht="19.5" customHeight="1">
      <c r="B47" s="2002" t="s">
        <v>325</v>
      </c>
      <c r="C47" s="2002"/>
      <c r="D47" s="2002"/>
      <c r="E47" s="2002"/>
      <c r="F47" s="2002"/>
      <c r="G47" s="2002"/>
      <c r="H47" s="2002"/>
      <c r="I47" s="2002"/>
    </row>
    <row r="48" spans="2:9" ht="19.5" customHeight="1">
      <c r="B48" s="1992" t="s">
        <v>326</v>
      </c>
      <c r="C48" s="1992"/>
      <c r="D48" s="1992"/>
      <c r="E48" s="1992"/>
      <c r="F48" s="1992"/>
      <c r="G48" s="1992"/>
      <c r="H48" s="1992"/>
      <c r="I48" s="1992"/>
    </row>
    <row r="49" spans="2:9" ht="19.5" customHeight="1">
      <c r="B49" s="1991" t="s">
        <v>958</v>
      </c>
      <c r="C49" s="1992"/>
      <c r="D49" s="1992"/>
      <c r="E49" s="1992"/>
      <c r="F49" s="1992"/>
      <c r="G49" s="1992"/>
      <c r="H49" s="1992"/>
      <c r="I49" s="1992"/>
    </row>
    <row r="50" spans="2:9" ht="19.5" customHeight="1">
      <c r="B50" s="2093" t="s">
        <v>327</v>
      </c>
      <c r="C50" s="2093"/>
      <c r="D50" s="2093"/>
      <c r="E50" s="2093"/>
      <c r="F50" s="2093"/>
      <c r="G50" s="2093"/>
      <c r="H50" s="2093"/>
      <c r="I50" s="2093"/>
    </row>
    <row r="51" spans="2:9">
      <c r="B51" s="273"/>
      <c r="C51" s="273"/>
      <c r="D51" s="273"/>
    </row>
    <row r="52" spans="2:9">
      <c r="B52" s="273"/>
      <c r="C52" s="273"/>
      <c r="D52" s="273"/>
    </row>
    <row r="53" spans="2:9">
      <c r="B53" s="273"/>
      <c r="C53" s="281"/>
      <c r="D53" s="281"/>
    </row>
    <row r="54" spans="2:9">
      <c r="B54" s="273"/>
      <c r="C54" s="281"/>
      <c r="D54" s="281"/>
    </row>
    <row r="55" spans="2:9">
      <c r="B55" s="282" t="s">
        <v>328</v>
      </c>
      <c r="C55" s="281"/>
      <c r="D55" s="281"/>
      <c r="I55" s="283" t="str">
        <f>'fiche technique'!A12</f>
        <v>décembre 2014</v>
      </c>
    </row>
    <row r="56" spans="2:9">
      <c r="B56" s="281"/>
      <c r="C56" s="281"/>
      <c r="D56" s="281"/>
    </row>
    <row r="57" spans="2:9">
      <c r="B57" s="273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  <row r="795" spans="2:4">
      <c r="B795" s="281"/>
      <c r="C795" s="281"/>
      <c r="D795" s="281"/>
    </row>
    <row r="796" spans="2:4">
      <c r="B796" s="281"/>
      <c r="C796" s="281"/>
      <c r="D796" s="281"/>
    </row>
    <row r="797" spans="2:4">
      <c r="B797" s="281"/>
      <c r="C797" s="281"/>
      <c r="D797" s="281"/>
    </row>
    <row r="798" spans="2:4">
      <c r="B798" s="281"/>
      <c r="C798" s="281"/>
      <c r="D798" s="281"/>
    </row>
  </sheetData>
  <mergeCells count="9">
    <mergeCell ref="B50:I50"/>
    <mergeCell ref="F45:H45"/>
    <mergeCell ref="B46:I46"/>
    <mergeCell ref="B47:I47"/>
    <mergeCell ref="B18:I18"/>
    <mergeCell ref="B19:I19"/>
    <mergeCell ref="B22:I22"/>
    <mergeCell ref="B48:I48"/>
    <mergeCell ref="B49:I49"/>
  </mergeCells>
  <phoneticPr fontId="0" type="noConversion"/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Feuil32">
    <tabColor rgb="FFFFFF99"/>
  </sheetPr>
  <dimension ref="A1:BR30"/>
  <sheetViews>
    <sheetView showZeros="0" topLeftCell="A13" zoomScale="75" zoomScaleNormal="75" workbookViewId="0">
      <selection activeCell="K34" sqref="K34"/>
    </sheetView>
  </sheetViews>
  <sheetFormatPr baseColWidth="10" defaultColWidth="11.44140625" defaultRowHeight="13.2"/>
  <cols>
    <col min="1" max="1" width="72.6640625" style="652" customWidth="1"/>
    <col min="2" max="3" width="16.6640625" style="657" customWidth="1"/>
    <col min="4" max="4" width="16.6640625" style="658" customWidth="1"/>
    <col min="5" max="5" width="16.6640625" style="651" customWidth="1"/>
    <col min="6" max="6" width="20.33203125" style="651" customWidth="1"/>
    <col min="7" max="7" width="14.6640625" style="652" bestFit="1" customWidth="1"/>
    <col min="8" max="16384" width="11.44140625" style="652"/>
  </cols>
  <sheetData>
    <row r="1" spans="1:70" ht="15" customHeight="1"/>
    <row r="2" spans="1:70" s="529" customFormat="1" ht="24" customHeight="1">
      <c r="A2" s="2102" t="str">
        <f>'fiche technique'!A16</f>
        <v xml:space="preserve">Bilan de la campagne 2014 de recrutement et d'affectation des maîtres de conférences et des professeurs des universités </v>
      </c>
      <c r="B2" s="2102"/>
      <c r="C2" s="2102"/>
      <c r="D2" s="2102"/>
      <c r="E2" s="2102"/>
      <c r="F2" s="604"/>
    </row>
    <row r="3" spans="1:70" s="529" customFormat="1" ht="24" customHeight="1">
      <c r="A3" s="2102" t="str">
        <f>'[19]fiche technique'!A16</f>
        <v>(session synchronisée - ANTEE)</v>
      </c>
      <c r="B3" s="2102"/>
      <c r="C3" s="2102"/>
      <c r="D3" s="2102"/>
      <c r="E3" s="2102"/>
      <c r="F3" s="604"/>
    </row>
    <row r="4" spans="1:70" s="529" customFormat="1" ht="15" customHeight="1">
      <c r="A4" s="605"/>
      <c r="B4" s="605"/>
      <c r="C4" s="605"/>
      <c r="D4" s="605"/>
      <c r="E4" s="605"/>
      <c r="F4" s="604"/>
    </row>
    <row r="5" spans="1:70" s="529" customFormat="1" ht="19.5" customHeight="1">
      <c r="A5" s="2103" t="s">
        <v>108</v>
      </c>
      <c r="B5" s="2103"/>
      <c r="C5" s="2103"/>
      <c r="D5" s="2103"/>
      <c r="E5" s="2103"/>
      <c r="F5" s="604"/>
    </row>
    <row r="6" spans="1:70" s="523" customFormat="1" ht="19.5" customHeight="1">
      <c r="A6" s="2104" t="s">
        <v>541</v>
      </c>
      <c r="B6" s="2104"/>
      <c r="C6" s="2104"/>
      <c r="D6" s="2104"/>
      <c r="E6" s="2104"/>
      <c r="F6" s="606"/>
    </row>
    <row r="7" spans="1:70" s="523" customFormat="1" ht="15" customHeight="1" thickBot="1">
      <c r="B7" s="610"/>
      <c r="C7" s="610"/>
      <c r="E7" s="611"/>
      <c r="F7" s="611"/>
    </row>
    <row r="8" spans="1:70" s="617" customFormat="1" ht="66" customHeight="1" thickBot="1">
      <c r="A8" s="612"/>
      <c r="B8" s="1906" t="s">
        <v>364</v>
      </c>
      <c r="C8" s="613" t="s">
        <v>999</v>
      </c>
      <c r="D8" s="614" t="s">
        <v>110</v>
      </c>
      <c r="E8" s="615" t="s">
        <v>306</v>
      </c>
      <c r="F8" s="616"/>
    </row>
    <row r="9" spans="1:70" s="617" customFormat="1" ht="24" customHeight="1">
      <c r="A9" s="618" t="s">
        <v>143</v>
      </c>
      <c r="B9" s="619"/>
      <c r="C9" s="620"/>
      <c r="D9" s="621"/>
      <c r="E9" s="927"/>
      <c r="F9" s="622"/>
    </row>
    <row r="10" spans="1:70" s="617" customFormat="1" ht="24" customHeight="1">
      <c r="A10" s="623" t="s">
        <v>365</v>
      </c>
      <c r="B10" s="624">
        <f>1279-122</f>
        <v>1157</v>
      </c>
      <c r="C10" s="625">
        <v>40</v>
      </c>
      <c r="D10" s="625">
        <f>B10-C10</f>
        <v>1117</v>
      </c>
      <c r="E10" s="928">
        <f>D10/B10</f>
        <v>0.96542783059636994</v>
      </c>
      <c r="F10" s="626"/>
      <c r="G10" s="627"/>
      <c r="H10" s="627"/>
      <c r="I10" s="627"/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7"/>
      <c r="AA10" s="627"/>
      <c r="AB10" s="627"/>
      <c r="AC10" s="627"/>
      <c r="AD10" s="627"/>
      <c r="AE10" s="627"/>
      <c r="AF10" s="627"/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  <c r="AS10" s="627"/>
      <c r="AT10" s="627"/>
      <c r="AU10" s="627"/>
      <c r="AV10" s="627"/>
      <c r="AW10" s="627"/>
      <c r="AX10" s="627"/>
      <c r="AY10" s="627"/>
      <c r="AZ10" s="627"/>
      <c r="BA10" s="627"/>
      <c r="BB10" s="627"/>
      <c r="BC10" s="627"/>
      <c r="BD10" s="627"/>
      <c r="BE10" s="627"/>
      <c r="BF10" s="627"/>
      <c r="BG10" s="627"/>
      <c r="BH10" s="627"/>
      <c r="BI10" s="627"/>
      <c r="BJ10" s="627"/>
      <c r="BK10" s="627"/>
      <c r="BL10" s="627"/>
      <c r="BM10" s="627"/>
      <c r="BN10" s="627"/>
      <c r="BO10" s="627"/>
      <c r="BP10" s="627"/>
      <c r="BQ10" s="627"/>
      <c r="BR10" s="627"/>
    </row>
    <row r="11" spans="1:70" s="617" customFormat="1" ht="24" customHeight="1">
      <c r="A11" s="628" t="s">
        <v>223</v>
      </c>
      <c r="B11" s="624">
        <v>11</v>
      </c>
      <c r="C11" s="625">
        <v>0</v>
      </c>
      <c r="D11" s="625">
        <f>B11-C11</f>
        <v>11</v>
      </c>
      <c r="E11" s="928">
        <f>D11/B11</f>
        <v>1</v>
      </c>
      <c r="F11" s="629"/>
      <c r="G11" s="627"/>
      <c r="H11" s="627"/>
      <c r="I11" s="627"/>
      <c r="J11" s="627"/>
      <c r="K11" s="627"/>
      <c r="L11" s="627"/>
      <c r="M11" s="627"/>
      <c r="N11" s="627"/>
      <c r="O11" s="627"/>
      <c r="P11" s="627"/>
      <c r="Q11" s="627"/>
      <c r="R11" s="627"/>
      <c r="S11" s="627"/>
      <c r="T11" s="627"/>
      <c r="U11" s="627"/>
      <c r="V11" s="627"/>
      <c r="W11" s="627"/>
      <c r="X11" s="627"/>
      <c r="Y11" s="627"/>
      <c r="Z11" s="627"/>
      <c r="AA11" s="627"/>
      <c r="AB11" s="627"/>
      <c r="AC11" s="627"/>
      <c r="AD11" s="627"/>
      <c r="AE11" s="627"/>
      <c r="AF11" s="627"/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  <c r="AS11" s="627"/>
      <c r="AT11" s="627"/>
      <c r="AU11" s="627"/>
      <c r="AV11" s="627"/>
      <c r="AW11" s="627"/>
      <c r="AX11" s="627"/>
      <c r="AY11" s="627"/>
      <c r="AZ11" s="627"/>
      <c r="BA11" s="627"/>
      <c r="BB11" s="627"/>
      <c r="BC11" s="627"/>
      <c r="BD11" s="627"/>
      <c r="BE11" s="627"/>
      <c r="BF11" s="627"/>
      <c r="BG11" s="627"/>
      <c r="BH11" s="627"/>
      <c r="BI11" s="627"/>
      <c r="BJ11" s="627"/>
      <c r="BK11" s="627"/>
      <c r="BL11" s="627"/>
      <c r="BM11" s="627"/>
      <c r="BN11" s="627"/>
      <c r="BO11" s="627"/>
      <c r="BP11" s="627"/>
      <c r="BQ11" s="627"/>
      <c r="BR11" s="627"/>
    </row>
    <row r="12" spans="1:70" s="617" customFormat="1" ht="24" customHeight="1">
      <c r="A12" s="1546" t="s">
        <v>944</v>
      </c>
      <c r="B12" s="1547">
        <v>1</v>
      </c>
      <c r="C12" s="1548"/>
      <c r="D12" s="1548">
        <f>B12-C12</f>
        <v>1</v>
      </c>
      <c r="E12" s="1549"/>
      <c r="F12" s="629"/>
      <c r="G12" s="627"/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7"/>
      <c r="AA12" s="627"/>
      <c r="AB12" s="627"/>
      <c r="AC12" s="627"/>
      <c r="AD12" s="627"/>
      <c r="AE12" s="627"/>
      <c r="AF12" s="627"/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  <c r="AS12" s="627"/>
      <c r="AT12" s="627"/>
      <c r="AU12" s="627"/>
      <c r="AV12" s="627"/>
      <c r="AW12" s="627"/>
      <c r="AX12" s="627"/>
      <c r="AY12" s="627"/>
      <c r="AZ12" s="627"/>
      <c r="BA12" s="627"/>
      <c r="BB12" s="627"/>
      <c r="BC12" s="627"/>
      <c r="BD12" s="627"/>
      <c r="BE12" s="627"/>
      <c r="BF12" s="627"/>
      <c r="BG12" s="627"/>
      <c r="BH12" s="627"/>
      <c r="BI12" s="627"/>
      <c r="BJ12" s="627"/>
      <c r="BK12" s="627"/>
      <c r="BL12" s="627"/>
      <c r="BM12" s="627"/>
      <c r="BN12" s="627"/>
      <c r="BO12" s="627"/>
      <c r="BP12" s="627"/>
      <c r="BQ12" s="627"/>
      <c r="BR12" s="627"/>
    </row>
    <row r="13" spans="1:70" s="617" customFormat="1" ht="24" customHeight="1">
      <c r="A13" s="630" t="s">
        <v>161</v>
      </c>
      <c r="B13" s="932">
        <f>SUM(B10:B12)</f>
        <v>1169</v>
      </c>
      <c r="C13" s="933">
        <f>SUM(C10:C12)</f>
        <v>40</v>
      </c>
      <c r="D13" s="933">
        <f>B13-C13</f>
        <v>1129</v>
      </c>
      <c r="E13" s="929">
        <f>D13/B13</f>
        <v>0.96578272027373824</v>
      </c>
      <c r="F13" s="626"/>
      <c r="G13" s="627"/>
      <c r="H13" s="627"/>
      <c r="I13" s="627"/>
      <c r="J13" s="627"/>
      <c r="K13" s="627"/>
      <c r="L13" s="627"/>
      <c r="M13" s="627"/>
      <c r="N13" s="627"/>
      <c r="O13" s="627"/>
      <c r="P13" s="627"/>
      <c r="Q13" s="627"/>
      <c r="R13" s="627"/>
      <c r="S13" s="627"/>
      <c r="T13" s="627"/>
      <c r="U13" s="627"/>
      <c r="V13" s="627"/>
      <c r="W13" s="627"/>
      <c r="X13" s="627"/>
      <c r="Y13" s="627"/>
      <c r="Z13" s="627"/>
      <c r="AA13" s="627"/>
      <c r="AB13" s="627"/>
      <c r="AC13" s="627"/>
      <c r="AD13" s="627"/>
      <c r="AE13" s="627"/>
      <c r="AF13" s="627"/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  <c r="AS13" s="627"/>
      <c r="AT13" s="627"/>
      <c r="AU13" s="627"/>
      <c r="AV13" s="627"/>
      <c r="AW13" s="627"/>
      <c r="AX13" s="627"/>
      <c r="AY13" s="627"/>
      <c r="AZ13" s="627"/>
      <c r="BA13" s="627"/>
      <c r="BB13" s="627"/>
      <c r="BC13" s="627"/>
      <c r="BD13" s="627"/>
      <c r="BE13" s="627"/>
      <c r="BF13" s="627"/>
      <c r="BG13" s="627"/>
      <c r="BH13" s="627"/>
      <c r="BI13" s="627"/>
      <c r="BJ13" s="627"/>
      <c r="BK13" s="627"/>
      <c r="BL13" s="627"/>
      <c r="BM13" s="627"/>
      <c r="BN13" s="627"/>
      <c r="BO13" s="627"/>
      <c r="BP13" s="627"/>
      <c r="BQ13" s="627"/>
      <c r="BR13" s="627"/>
    </row>
    <row r="14" spans="1:70" s="617" customFormat="1" ht="24" customHeight="1">
      <c r="A14" s="631" t="s">
        <v>162</v>
      </c>
      <c r="B14" s="632"/>
      <c r="C14" s="633"/>
      <c r="D14" s="633"/>
      <c r="E14" s="930"/>
      <c r="F14" s="626"/>
      <c r="G14" s="634"/>
      <c r="H14" s="627"/>
      <c r="I14" s="627"/>
    </row>
    <row r="15" spans="1:70" s="617" customFormat="1" ht="24" customHeight="1">
      <c r="A15" s="623" t="s">
        <v>998</v>
      </c>
      <c r="B15" s="624">
        <f>600-51</f>
        <v>549</v>
      </c>
      <c r="C15" s="625">
        <v>48</v>
      </c>
      <c r="D15" s="625">
        <f>B15-C15</f>
        <v>501</v>
      </c>
      <c r="E15" s="928">
        <f>D15/B15</f>
        <v>0.91256830601092898</v>
      </c>
      <c r="F15" s="626"/>
      <c r="G15" s="634"/>
      <c r="H15" s="627"/>
      <c r="I15" s="627"/>
    </row>
    <row r="16" spans="1:70" s="617" customFormat="1" ht="24" customHeight="1">
      <c r="A16" s="1212" t="s">
        <v>981</v>
      </c>
      <c r="B16" s="635">
        <v>46</v>
      </c>
      <c r="C16" s="636">
        <v>4</v>
      </c>
      <c r="D16" s="637">
        <f>B16-C16</f>
        <v>42</v>
      </c>
      <c r="E16" s="928">
        <f>D16/B16</f>
        <v>0.91304347826086951</v>
      </c>
      <c r="F16" s="626"/>
      <c r="G16" s="627"/>
      <c r="H16" s="627"/>
      <c r="I16" s="627"/>
    </row>
    <row r="17" spans="1:9" s="617" customFormat="1" ht="24" customHeight="1">
      <c r="A17" s="628" t="s">
        <v>980</v>
      </c>
      <c r="B17" s="624">
        <v>5</v>
      </c>
      <c r="C17" s="625">
        <v>1</v>
      </c>
      <c r="D17" s="625">
        <f>B17-C17</f>
        <v>4</v>
      </c>
      <c r="E17" s="928">
        <f>D17/B17</f>
        <v>0.8</v>
      </c>
      <c r="F17" s="626"/>
      <c r="G17" s="627"/>
      <c r="H17" s="627"/>
      <c r="I17" s="627"/>
    </row>
    <row r="18" spans="1:9" s="617" customFormat="1" ht="24" customHeight="1">
      <c r="A18" s="638" t="s">
        <v>111</v>
      </c>
      <c r="B18" s="934">
        <f>SUM(B15:B17)</f>
        <v>600</v>
      </c>
      <c r="C18" s="934">
        <f>SUM(C15:C17)</f>
        <v>53</v>
      </c>
      <c r="D18" s="934">
        <f>SUM(D15:D17)</f>
        <v>547</v>
      </c>
      <c r="E18" s="928">
        <f>D18/B18</f>
        <v>0.91166666666666663</v>
      </c>
      <c r="F18" s="626"/>
      <c r="G18" s="627"/>
      <c r="H18" s="627"/>
      <c r="I18" s="627"/>
    </row>
    <row r="19" spans="1:9" s="617" customFormat="1" ht="24" customHeight="1">
      <c r="A19" s="639" t="s">
        <v>219</v>
      </c>
      <c r="B19" s="640"/>
      <c r="C19" s="641"/>
      <c r="D19" s="641"/>
      <c r="E19" s="931"/>
      <c r="F19" s="626"/>
      <c r="G19" s="627"/>
      <c r="H19" s="627"/>
      <c r="I19" s="627"/>
    </row>
    <row r="20" spans="1:9" s="617" customFormat="1" ht="24" customHeight="1">
      <c r="A20" s="628" t="s">
        <v>224</v>
      </c>
      <c r="B20" s="635">
        <v>52</v>
      </c>
      <c r="C20" s="636">
        <v>0</v>
      </c>
      <c r="D20" s="636">
        <f>B20-C20</f>
        <v>52</v>
      </c>
      <c r="E20" s="928">
        <f>D20/B20</f>
        <v>1</v>
      </c>
      <c r="F20" s="626"/>
      <c r="G20" s="627"/>
      <c r="H20" s="627"/>
      <c r="I20" s="627"/>
    </row>
    <row r="21" spans="1:9" s="617" customFormat="1" ht="24" customHeight="1">
      <c r="A21" s="642" t="s">
        <v>513</v>
      </c>
      <c r="B21" s="643">
        <v>17</v>
      </c>
      <c r="C21" s="644"/>
      <c r="D21" s="644">
        <f>B21-C21</f>
        <v>17</v>
      </c>
      <c r="E21" s="928">
        <f>D21/B21</f>
        <v>1</v>
      </c>
      <c r="F21" s="626"/>
      <c r="G21" s="627"/>
      <c r="H21" s="627"/>
      <c r="I21" s="627"/>
    </row>
    <row r="22" spans="1:9" s="617" customFormat="1" ht="24" customHeight="1">
      <c r="A22" s="638" t="s">
        <v>112</v>
      </c>
      <c r="B22" s="934">
        <f>SUM(B20:B21)</f>
        <v>69</v>
      </c>
      <c r="C22" s="936">
        <f>SUM(C20:C21)</f>
        <v>0</v>
      </c>
      <c r="D22" s="936">
        <f>SUM(D20:D21)</f>
        <v>69</v>
      </c>
      <c r="E22" s="928">
        <f>D22/B22</f>
        <v>1</v>
      </c>
      <c r="F22" s="626"/>
      <c r="G22" s="627"/>
      <c r="H22" s="627"/>
      <c r="I22" s="627"/>
    </row>
    <row r="23" spans="1:9" s="646" customFormat="1" ht="24" customHeight="1">
      <c r="A23" s="630" t="s">
        <v>163</v>
      </c>
      <c r="B23" s="933">
        <f>B18+B22</f>
        <v>669</v>
      </c>
      <c r="C23" s="933">
        <f>C18+C22</f>
        <v>53</v>
      </c>
      <c r="D23" s="933">
        <f>D18+D22</f>
        <v>616</v>
      </c>
      <c r="E23" s="929">
        <f>D23/B23</f>
        <v>0.9207772795216741</v>
      </c>
      <c r="F23" s="645"/>
    </row>
    <row r="24" spans="1:9" s="648" customFormat="1" ht="24" customHeight="1" thickBot="1">
      <c r="A24" s="647" t="s">
        <v>113</v>
      </c>
      <c r="B24" s="937">
        <f>B13+B23</f>
        <v>1838</v>
      </c>
      <c r="C24" s="935">
        <f>C13+C23</f>
        <v>93</v>
      </c>
      <c r="D24" s="938">
        <f>D13+D23</f>
        <v>1745</v>
      </c>
      <c r="E24" s="939">
        <f>D24/B24</f>
        <v>0.94940152339499451</v>
      </c>
      <c r="F24" s="645"/>
    </row>
    <row r="25" spans="1:9" ht="24" customHeight="1" thickBot="1">
      <c r="A25" s="552" t="str">
        <f>'fiche technique'!A14</f>
        <v>Source: GALAXIE (ANTEE), DGRH A1-1 &amp; DGRH A2, juin 2014</v>
      </c>
      <c r="B25" s="649"/>
      <c r="C25" s="940">
        <f>C24/B24</f>
        <v>5.0598476605005438E-2</v>
      </c>
      <c r="D25" s="941">
        <f>D24/B24</f>
        <v>0.94940152339499451</v>
      </c>
      <c r="E25" s="650"/>
    </row>
    <row r="26" spans="1:9" ht="15.75" customHeight="1">
      <c r="A26" s="653"/>
      <c r="B26" s="612"/>
      <c r="C26" s="153"/>
      <c r="D26" s="153"/>
      <c r="E26" s="654"/>
    </row>
    <row r="27" spans="1:9" s="571" customFormat="1" ht="15.75" customHeight="1">
      <c r="A27" s="608" t="s">
        <v>931</v>
      </c>
      <c r="B27" s="612"/>
      <c r="C27" s="612"/>
      <c r="D27" s="655"/>
      <c r="E27" s="654"/>
      <c r="F27" s="609"/>
    </row>
    <row r="28" spans="1:9" s="571" customFormat="1" ht="15.75" customHeight="1">
      <c r="A28" s="1255" t="s">
        <v>932</v>
      </c>
      <c r="B28" s="612"/>
      <c r="C28" s="612"/>
      <c r="D28" s="655"/>
      <c r="E28" s="654"/>
      <c r="F28" s="609"/>
    </row>
    <row r="29" spans="1:9" ht="15.75" customHeight="1">
      <c r="A29" s="2105" t="s">
        <v>1032</v>
      </c>
      <c r="B29" s="2105"/>
      <c r="E29" s="753"/>
      <c r="F29" s="753"/>
    </row>
    <row r="30" spans="1:9" ht="13.8">
      <c r="A30" s="656"/>
    </row>
  </sheetData>
  <mergeCells count="5">
    <mergeCell ref="A2:E2"/>
    <mergeCell ref="A3:E3"/>
    <mergeCell ref="A5:E5"/>
    <mergeCell ref="A6:E6"/>
    <mergeCell ref="A29:B29"/>
  </mergeCells>
  <printOptions horizontalCentered="1"/>
  <pageMargins left="0.39370078740157483" right="0.39370078740157483" top="0.39370078740157483" bottom="0.19685039370078741" header="0.31496062992125984" footer="0.31496062992125984"/>
  <pageSetup paperSize="9" scale="80" orientation="landscape" r:id="rId1"/>
  <headerFooter alignWithMargins="0">
    <oddHeader>&amp;LDGRH A1-1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Feuil2">
    <tabColor rgb="FFFFFF66"/>
  </sheetPr>
  <dimension ref="A2:BO33"/>
  <sheetViews>
    <sheetView showZeros="0" zoomScale="75" workbookViewId="0">
      <selection activeCell="L18" sqref="L18"/>
    </sheetView>
  </sheetViews>
  <sheetFormatPr baseColWidth="10" defaultColWidth="11.44140625" defaultRowHeight="13.2"/>
  <cols>
    <col min="1" max="1" width="70.6640625" style="508" customWidth="1"/>
    <col min="2" max="2" width="16.5546875" style="94" customWidth="1"/>
    <col min="3" max="3" width="16.5546875" style="94" hidden="1" customWidth="1"/>
    <col min="4" max="4" width="16.5546875" style="94" customWidth="1"/>
    <col min="5" max="7" width="14.109375" style="94" customWidth="1"/>
    <col min="8" max="8" width="14.109375" style="98" customWidth="1"/>
    <col min="9" max="9" width="14.109375" style="96" customWidth="1"/>
    <col min="10" max="10" width="14.6640625" style="96" customWidth="1"/>
    <col min="11" max="11" width="11.5546875" style="508" bestFit="1" customWidth="1"/>
    <col min="12" max="16384" width="11.44140625" style="508"/>
  </cols>
  <sheetData>
    <row r="2" spans="1:67" s="491" customFormat="1" ht="24" customHeight="1">
      <c r="A2" s="1928" t="str">
        <f>'fiche technique'!A16</f>
        <v xml:space="preserve">Bilan de la campagne 2014 de recrutement et d'affectation des maîtres de conférences et des professeurs des universités </v>
      </c>
      <c r="B2" s="517"/>
      <c r="C2" s="517"/>
      <c r="D2" s="517"/>
      <c r="E2" s="517"/>
      <c r="F2" s="517"/>
      <c r="G2" s="517"/>
      <c r="H2" s="517"/>
      <c r="I2" s="517"/>
      <c r="J2" s="1804"/>
    </row>
    <row r="3" spans="1:67" s="491" customFormat="1" ht="15" customHeight="1">
      <c r="A3" s="128"/>
      <c r="B3" s="128"/>
      <c r="C3" s="128"/>
      <c r="D3" s="128"/>
      <c r="E3" s="128"/>
      <c r="F3" s="128"/>
      <c r="G3" s="128"/>
      <c r="H3" s="128"/>
      <c r="I3" s="128"/>
      <c r="J3" s="75"/>
    </row>
    <row r="4" spans="1:67" s="491" customFormat="1" ht="18.75" customHeight="1">
      <c r="A4" s="2004" t="s">
        <v>534</v>
      </c>
      <c r="B4" s="2004"/>
      <c r="C4" s="2004"/>
      <c r="D4" s="2004"/>
      <c r="E4" s="2004"/>
      <c r="F4" s="2004"/>
      <c r="G4" s="2004"/>
      <c r="H4" s="2004"/>
      <c r="I4" s="2004"/>
      <c r="J4" s="75"/>
    </row>
    <row r="5" spans="1:67" s="76" customFormat="1" ht="17.399999999999999">
      <c r="A5" s="2005" t="s">
        <v>933</v>
      </c>
      <c r="B5" s="2006"/>
      <c r="C5" s="2006"/>
      <c r="D5" s="2006"/>
      <c r="E5" s="2006"/>
      <c r="F5" s="2006"/>
      <c r="G5" s="2006"/>
      <c r="H5" s="2006"/>
      <c r="I5" s="2006"/>
      <c r="J5" s="77"/>
    </row>
    <row r="6" spans="1:67" s="492" customFormat="1" ht="15" customHeight="1">
      <c r="A6" s="78"/>
      <c r="B6" s="79"/>
      <c r="C6" s="79"/>
      <c r="D6" s="79"/>
      <c r="E6" s="79"/>
      <c r="F6" s="79"/>
      <c r="G6" s="79"/>
      <c r="H6" s="79"/>
      <c r="I6" s="80"/>
      <c r="J6" s="80"/>
    </row>
    <row r="7" spans="1:67" s="81" customFormat="1" ht="15" customHeight="1" thickBot="1">
      <c r="A7" s="493"/>
      <c r="B7" s="82"/>
      <c r="C7" s="82"/>
      <c r="D7" s="83"/>
      <c r="E7" s="83"/>
      <c r="F7" s="83"/>
      <c r="G7" s="83"/>
      <c r="I7" s="84"/>
      <c r="J7" s="84"/>
    </row>
    <row r="8" spans="1:67" s="491" customFormat="1" ht="66" customHeight="1">
      <c r="B8" s="2007" t="s">
        <v>532</v>
      </c>
      <c r="C8" s="1858" t="s">
        <v>568</v>
      </c>
      <c r="D8" s="2009" t="s">
        <v>2</v>
      </c>
      <c r="E8" s="2009" t="s">
        <v>3</v>
      </c>
      <c r="F8" s="2011" t="s">
        <v>329</v>
      </c>
      <c r="G8" s="2007" t="s">
        <v>935</v>
      </c>
      <c r="H8" s="2013" t="s">
        <v>157</v>
      </c>
      <c r="I8" s="2014"/>
      <c r="J8" s="494"/>
    </row>
    <row r="9" spans="1:67" s="89" customFormat="1" ht="66" customHeight="1" thickBot="1">
      <c r="A9" s="114"/>
      <c r="B9" s="2008"/>
      <c r="C9" s="1859"/>
      <c r="D9" s="2010"/>
      <c r="E9" s="2010"/>
      <c r="F9" s="2012"/>
      <c r="G9" s="2008"/>
      <c r="H9" s="284" t="s">
        <v>159</v>
      </c>
      <c r="I9" s="126" t="s">
        <v>218</v>
      </c>
      <c r="J9" s="86"/>
    </row>
    <row r="10" spans="1:67" s="85" customFormat="1" ht="24" customHeight="1">
      <c r="A10" s="1541" t="s">
        <v>143</v>
      </c>
      <c r="B10" s="495"/>
      <c r="C10" s="115"/>
      <c r="D10" s="115"/>
      <c r="E10" s="115"/>
      <c r="F10" s="286"/>
      <c r="G10" s="287"/>
      <c r="H10" s="285"/>
      <c r="I10" s="127"/>
      <c r="J10" s="87"/>
    </row>
    <row r="11" spans="1:67" s="85" customFormat="1" ht="24" customHeight="1">
      <c r="A11" s="116" t="s">
        <v>133</v>
      </c>
      <c r="B11" s="289">
        <f>'TAB S-2 sync'!B10+'TAB S-3 fil eau'!B10</f>
        <v>1432</v>
      </c>
      <c r="C11" s="159"/>
      <c r="D11" s="159">
        <f>'TAB S-2 sync'!C10+'TAB S-3 fil eau'!C10</f>
        <v>127</v>
      </c>
      <c r="E11" s="159">
        <f>'TAB S-2 sync'!D10+'TAB S-3 fil eau'!D10</f>
        <v>4</v>
      </c>
      <c r="F11" s="289">
        <f>'TAB S-2 sync'!E10+'TAB S-3 fil eau'!E10</f>
        <v>1245</v>
      </c>
      <c r="G11" s="290">
        <f>B11-H11</f>
        <v>56</v>
      </c>
      <c r="H11" s="288">
        <f>D11+E11+F11</f>
        <v>1376</v>
      </c>
      <c r="I11" s="496">
        <f>H11/(B11-C11)</f>
        <v>0.96089385474860334</v>
      </c>
      <c r="J11" s="88"/>
      <c r="K11" s="89"/>
      <c r="L11" s="861"/>
      <c r="M11" s="89">
        <f>H11/B11</f>
        <v>0.96089385474860334</v>
      </c>
      <c r="N11" s="89"/>
      <c r="O11" s="89"/>
      <c r="P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  <c r="BN11" s="89"/>
      <c r="BO11" s="89"/>
    </row>
    <row r="12" spans="1:67" s="85" customFormat="1" ht="24" customHeight="1">
      <c r="A12" s="123" t="s">
        <v>134</v>
      </c>
      <c r="B12" s="289">
        <f>'TAB S-2 sync'!B11+'TAB S-3 fil eau'!B11</f>
        <v>11</v>
      </c>
      <c r="C12" s="159"/>
      <c r="D12" s="159">
        <f>'TAB S-2 sync'!C11+'TAB S-3 fil eau'!C11</f>
        <v>0</v>
      </c>
      <c r="E12" s="159">
        <f>'TAB S-2 sync'!D11+'TAB S-3 fil eau'!D11</f>
        <v>0</v>
      </c>
      <c r="F12" s="289">
        <f>'TAB S-2 sync'!E11+'TAB S-3 fil eau'!E11</f>
        <v>11</v>
      </c>
      <c r="G12" s="290">
        <f>B12-H12</f>
        <v>0</v>
      </c>
      <c r="H12" s="288">
        <f>D12+E12+F12</f>
        <v>11</v>
      </c>
      <c r="I12" s="496">
        <f>H12/(B12-C12)</f>
        <v>1</v>
      </c>
      <c r="J12" s="88"/>
      <c r="K12" s="89"/>
      <c r="L12" s="861"/>
      <c r="M12" s="89"/>
      <c r="N12" s="89"/>
      <c r="O12" s="89"/>
      <c r="P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</row>
    <row r="13" spans="1:67" s="85" customFormat="1" ht="24" customHeight="1">
      <c r="A13" s="123" t="s">
        <v>944</v>
      </c>
      <c r="B13" s="292">
        <v>1</v>
      </c>
      <c r="C13" s="497"/>
      <c r="D13" s="291">
        <f>'TAB S-2 sync'!C12+'TAB S-3 fil eau'!C11</f>
        <v>0</v>
      </c>
      <c r="E13" s="291">
        <f>'TAB S-2 sync'!D12+'TAB S-3 fil eau'!D11</f>
        <v>0</v>
      </c>
      <c r="F13" s="292">
        <v>1</v>
      </c>
      <c r="G13" s="290">
        <f>'[18]TAB S-2 sync'!F11+'[18]TAB S-3 fil eau'!F11</f>
        <v>0</v>
      </c>
      <c r="H13" s="288">
        <f>D13+E13+F13</f>
        <v>1</v>
      </c>
      <c r="I13" s="496">
        <f>H13/(B13-C13)</f>
        <v>1</v>
      </c>
      <c r="J13" s="90"/>
      <c r="K13" s="89"/>
      <c r="L13" s="861"/>
      <c r="M13" s="89">
        <f>H14/B14</f>
        <v>0.96121883656509699</v>
      </c>
      <c r="N13" s="89"/>
      <c r="O13" s="89"/>
      <c r="P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  <c r="BN13" s="89"/>
      <c r="BO13" s="89"/>
    </row>
    <row r="14" spans="1:67" s="91" customFormat="1" ht="24" customHeight="1">
      <c r="A14" s="119" t="s">
        <v>161</v>
      </c>
      <c r="B14" s="296">
        <f t="shared" ref="B14:H14" si="0">SUM(B11:B13)</f>
        <v>1444</v>
      </c>
      <c r="C14" s="498">
        <f t="shared" si="0"/>
        <v>0</v>
      </c>
      <c r="D14" s="498">
        <f t="shared" si="0"/>
        <v>127</v>
      </c>
      <c r="E14" s="162">
        <f t="shared" si="0"/>
        <v>4</v>
      </c>
      <c r="F14" s="296">
        <f t="shared" si="0"/>
        <v>1257</v>
      </c>
      <c r="G14" s="297">
        <f t="shared" si="0"/>
        <v>56</v>
      </c>
      <c r="H14" s="295">
        <f t="shared" si="0"/>
        <v>1388</v>
      </c>
      <c r="I14" s="499">
        <f>H14/(B14-C14)</f>
        <v>0.96121883656509699</v>
      </c>
      <c r="J14" s="92"/>
      <c r="K14" s="1175"/>
    </row>
    <row r="15" spans="1:67" s="85" customFormat="1" ht="24" customHeight="1">
      <c r="A15" s="120" t="s">
        <v>162</v>
      </c>
      <c r="B15" s="299">
        <f>'[18]TAB S-2 sync'!B13+'[18]TAB S-3 fil eau'!B13</f>
        <v>0</v>
      </c>
      <c r="C15" s="163"/>
      <c r="D15" s="163">
        <f>'TAB S-2 sync'!C14+'TAB S-3 fil eau'!C13</f>
        <v>0</v>
      </c>
      <c r="E15" s="163">
        <f>'TAB S-2 sync'!D14+'TAB S-3 fil eau'!D13</f>
        <v>0</v>
      </c>
      <c r="F15" s="299">
        <f>'TAB S-2 sync'!E14+'TAB S-3 fil eau'!E13</f>
        <v>0</v>
      </c>
      <c r="G15" s="300">
        <f>'[18]TAB S-2 sync'!F13+'[18]TAB S-3 fil eau'!F13</f>
        <v>0</v>
      </c>
      <c r="H15" s="298">
        <f>'[18]TAB S-2 sync'!G13+'[18]TAB S-3 fil eau'!G13</f>
        <v>0</v>
      </c>
      <c r="I15" s="500"/>
      <c r="J15" s="88"/>
      <c r="K15" s="89"/>
      <c r="L15" s="89"/>
      <c r="M15" s="89"/>
      <c r="N15" s="89"/>
      <c r="O15" s="89"/>
      <c r="P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</row>
    <row r="16" spans="1:67" s="85" customFormat="1" ht="24" customHeight="1">
      <c r="A16" s="116" t="s">
        <v>978</v>
      </c>
      <c r="B16" s="289">
        <f>'TAB S-2 sync'!B15+'TAB S-3 fil eau'!B14</f>
        <v>661</v>
      </c>
      <c r="C16" s="159"/>
      <c r="D16" s="159">
        <f>'TAB S-2 sync'!C15+'TAB S-3 fil eau'!C14</f>
        <v>56</v>
      </c>
      <c r="E16" s="159">
        <f>'TAB S-2 sync'!D15+'TAB S-3 fil eau'!D14</f>
        <v>2</v>
      </c>
      <c r="F16" s="289">
        <f>'TAB S-2 sync'!E15+'TAB S-3 fil eau'!E14</f>
        <v>542</v>
      </c>
      <c r="G16" s="290">
        <f>B16-H16</f>
        <v>61</v>
      </c>
      <c r="H16" s="288">
        <f>D16+E16+F16</f>
        <v>600</v>
      </c>
      <c r="I16" s="496">
        <f>H16/(B16-C16)</f>
        <v>0.90771558245083206</v>
      </c>
      <c r="J16" s="88"/>
    </row>
    <row r="17" spans="1:15" s="85" customFormat="1" ht="24" customHeight="1">
      <c r="A17" s="117" t="s">
        <v>979</v>
      </c>
      <c r="B17" s="289">
        <f>'TAB S-2 sync'!B16+'TAB S-3 fil eau'!B15</f>
        <v>49</v>
      </c>
      <c r="C17" s="159"/>
      <c r="D17" s="160">
        <f>'TAB S-2 sync'!C16+'TAB S-3 fil eau'!C15</f>
        <v>0</v>
      </c>
      <c r="E17" s="160">
        <f>'TAB S-2 sync'!D16+'TAB S-3 fil eau'!D15</f>
        <v>0</v>
      </c>
      <c r="F17" s="289">
        <f>'TAB S-2 sync'!E16+'TAB S-3 fil eau'!E15</f>
        <v>45</v>
      </c>
      <c r="G17" s="290">
        <f>B17-H17</f>
        <v>4</v>
      </c>
      <c r="H17" s="288">
        <f>F17</f>
        <v>45</v>
      </c>
      <c r="I17" s="496">
        <f>H17/(B17-C17)</f>
        <v>0.91836734693877553</v>
      </c>
      <c r="J17" s="90"/>
    </row>
    <row r="18" spans="1:15" s="85" customFormat="1" ht="24" customHeight="1">
      <c r="A18" s="118" t="s">
        <v>980</v>
      </c>
      <c r="B18" s="289">
        <f>'TAB S-2 sync'!B17+'TAB S-3 fil eau'!B16</f>
        <v>7</v>
      </c>
      <c r="C18" s="497"/>
      <c r="D18" s="161">
        <f>'TAB S-2 sync'!C17+'TAB S-3 fil eau'!C16</f>
        <v>0</v>
      </c>
      <c r="E18" s="161">
        <f>'TAB S-2 sync'!D17+'TAB S-3 fil eau'!D16</f>
        <v>0</v>
      </c>
      <c r="F18" s="299">
        <f>'TAB S-2 sync'!E17+'TAB S-3 fil eau'!E16</f>
        <v>6</v>
      </c>
      <c r="G18" s="290">
        <f>B18-H18</f>
        <v>1</v>
      </c>
      <c r="H18" s="288">
        <f>D18+E18+F18</f>
        <v>6</v>
      </c>
      <c r="I18" s="496">
        <f>H18/(B18-C18)</f>
        <v>0.8571428571428571</v>
      </c>
      <c r="J18" s="88"/>
    </row>
    <row r="19" spans="1:15" s="85" customFormat="1" ht="24" customHeight="1">
      <c r="A19" s="121" t="s">
        <v>111</v>
      </c>
      <c r="B19" s="292">
        <f>SUM(B15:B18)</f>
        <v>717</v>
      </c>
      <c r="C19" s="497">
        <f>SUM(C16:C18)</f>
        <v>0</v>
      </c>
      <c r="D19" s="497">
        <f>SUM(D15:D18)</f>
        <v>56</v>
      </c>
      <c r="E19" s="164">
        <f>SUM(E15:E18)</f>
        <v>2</v>
      </c>
      <c r="F19" s="292">
        <f>SUM(F15:F18)</f>
        <v>593</v>
      </c>
      <c r="G19" s="293">
        <f>SUM(G15:G18)</f>
        <v>66</v>
      </c>
      <c r="H19" s="294">
        <f>SUM(H15:H18)</f>
        <v>651</v>
      </c>
      <c r="I19" s="496">
        <f>H19/(B19-C19)</f>
        <v>0.90794979079497906</v>
      </c>
      <c r="J19" s="88"/>
    </row>
    <row r="20" spans="1:15" s="85" customFormat="1" ht="24" customHeight="1">
      <c r="A20" s="122" t="s">
        <v>533</v>
      </c>
      <c r="B20" s="304">
        <f>'[18]TAB S-2 sync'!B18+'[18]TAB S-3 fil eau'!B18</f>
        <v>0</v>
      </c>
      <c r="C20" s="501"/>
      <c r="D20" s="165">
        <f>'TAB S-2 sync'!C19+'TAB S-3 fil eau'!C18</f>
        <v>0</v>
      </c>
      <c r="E20" s="165">
        <f>'TAB S-2 sync'!D19+'TAB S-3 fil eau'!D18</f>
        <v>0</v>
      </c>
      <c r="F20" s="304">
        <f>'TAB S-2 sync'!E19+'TAB S-3 fil eau'!E18</f>
        <v>0</v>
      </c>
      <c r="G20" s="305">
        <f>'[18]TAB S-2 sync'!F18+'[18]TAB S-3 fil eau'!F18</f>
        <v>0</v>
      </c>
      <c r="H20" s="303">
        <f>'[18]TAB S-2 sync'!G18+'[18]TAB S-3 fil eau'!G18</f>
        <v>0</v>
      </c>
      <c r="I20" s="502"/>
      <c r="J20" s="88"/>
    </row>
    <row r="21" spans="1:15" s="85" customFormat="1" ht="24" customHeight="1">
      <c r="A21" s="117" t="s">
        <v>160</v>
      </c>
      <c r="B21" s="301">
        <f>'TAB S-2 sync'!B20+'TAB S-3 fil eau'!B19</f>
        <v>128</v>
      </c>
      <c r="C21" s="503"/>
      <c r="D21" s="503">
        <f>'TAB S-2 sync'!C20+'TAB S-3 fil eau'!C19</f>
        <v>93</v>
      </c>
      <c r="E21" s="503">
        <f>'TAB S-2 sync'!D20+'TAB S-3 fil eau'!D19</f>
        <v>4</v>
      </c>
      <c r="F21" s="504">
        <f>'TAB S-2 sync'!E20+'TAB S-3 fil eau'!E19</f>
        <v>0</v>
      </c>
      <c r="G21" s="302">
        <f>B21-H21</f>
        <v>31</v>
      </c>
      <c r="H21" s="311">
        <f>D21+E21+F21</f>
        <v>97</v>
      </c>
      <c r="I21" s="496">
        <f t="shared" ref="I21:I26" si="1">H21/(B21-C21)</f>
        <v>0.7578125</v>
      </c>
      <c r="J21" s="88"/>
    </row>
    <row r="22" spans="1:15" s="85" customFormat="1" ht="24" customHeight="1">
      <c r="A22" s="1043" t="s">
        <v>927</v>
      </c>
      <c r="B22" s="301">
        <v>52</v>
      </c>
      <c r="C22" s="503"/>
      <c r="D22" s="503">
        <f>'TAB S-2 sync'!C21</f>
        <v>0</v>
      </c>
      <c r="E22" s="503">
        <f>'TAB S-2 sync'!D21</f>
        <v>0</v>
      </c>
      <c r="F22" s="504">
        <v>52</v>
      </c>
      <c r="G22" s="290">
        <f>B22-H22</f>
        <v>0</v>
      </c>
      <c r="H22" s="288">
        <f>D22+E22+F22</f>
        <v>52</v>
      </c>
      <c r="I22" s="496">
        <f t="shared" si="1"/>
        <v>1</v>
      </c>
      <c r="J22" s="88"/>
    </row>
    <row r="23" spans="1:15" s="85" customFormat="1" ht="24" customHeight="1">
      <c r="A23" s="1087" t="s">
        <v>538</v>
      </c>
      <c r="B23" s="301">
        <v>17</v>
      </c>
      <c r="C23" s="503"/>
      <c r="D23" s="503">
        <f>'TAB S-2 sync'!C22</f>
        <v>0</v>
      </c>
      <c r="E23" s="503">
        <f>'TAB S-2 sync'!D22</f>
        <v>0</v>
      </c>
      <c r="F23" s="504">
        <v>17</v>
      </c>
      <c r="G23" s="290">
        <f>B23-H23</f>
        <v>0</v>
      </c>
      <c r="H23" s="288">
        <f>D23+E23+F23</f>
        <v>17</v>
      </c>
      <c r="I23" s="496">
        <f t="shared" si="1"/>
        <v>1</v>
      </c>
      <c r="J23" s="88"/>
    </row>
    <row r="24" spans="1:15" s="85" customFormat="1" ht="24" customHeight="1">
      <c r="A24" s="121" t="s">
        <v>112</v>
      </c>
      <c r="B24" s="310">
        <f>SUM(B21:B23)</f>
        <v>197</v>
      </c>
      <c r="C24" s="307">
        <f>SUM(C21:C21)</f>
        <v>0</v>
      </c>
      <c r="D24" s="307">
        <f>SUM(D21:D23)</f>
        <v>93</v>
      </c>
      <c r="E24" s="166">
        <f>SUM(E21:E23)</f>
        <v>4</v>
      </c>
      <c r="F24" s="310">
        <f>SUM(F21:F23)</f>
        <v>69</v>
      </c>
      <c r="G24" s="309">
        <f>SUM(G21:G23)</f>
        <v>31</v>
      </c>
      <c r="H24" s="306">
        <f>SUM(H21:H23)</f>
        <v>166</v>
      </c>
      <c r="I24" s="496">
        <f t="shared" si="1"/>
        <v>0.84263959390862941</v>
      </c>
      <c r="J24" s="88"/>
      <c r="N24" s="1532"/>
    </row>
    <row r="25" spans="1:15" s="85" customFormat="1" ht="24" customHeight="1">
      <c r="A25" s="124" t="s">
        <v>163</v>
      </c>
      <c r="B25" s="313">
        <f>B19+B24</f>
        <v>914</v>
      </c>
      <c r="C25" s="505">
        <f t="shared" ref="C25:H25" si="2">C19+C24</f>
        <v>0</v>
      </c>
      <c r="D25" s="307">
        <f t="shared" si="2"/>
        <v>149</v>
      </c>
      <c r="E25" s="166">
        <f t="shared" si="2"/>
        <v>6</v>
      </c>
      <c r="F25" s="310">
        <f t="shared" si="2"/>
        <v>662</v>
      </c>
      <c r="G25" s="309">
        <f t="shared" si="2"/>
        <v>97</v>
      </c>
      <c r="H25" s="306">
        <f t="shared" si="2"/>
        <v>817</v>
      </c>
      <c r="I25" s="502">
        <f t="shared" si="1"/>
        <v>0.89387308533916854</v>
      </c>
      <c r="J25" s="88"/>
      <c r="N25" s="1532"/>
    </row>
    <row r="26" spans="1:15" s="93" customFormat="1" ht="24" customHeight="1" thickBot="1">
      <c r="A26" s="125" t="s">
        <v>113</v>
      </c>
      <c r="B26" s="316">
        <f>B14+B25</f>
        <v>2358</v>
      </c>
      <c r="C26" s="506">
        <f>C14+C25</f>
        <v>0</v>
      </c>
      <c r="D26" s="506">
        <f>D14+D25</f>
        <v>276</v>
      </c>
      <c r="E26" s="168">
        <f>E14+E25</f>
        <v>10</v>
      </c>
      <c r="F26" s="316">
        <f>F14+F25</f>
        <v>1919</v>
      </c>
      <c r="G26" s="317">
        <f>B26-H26-C26</f>
        <v>153</v>
      </c>
      <c r="H26" s="315">
        <f>H14+H25</f>
        <v>2205</v>
      </c>
      <c r="I26" s="507">
        <f t="shared" si="1"/>
        <v>0.93511450381679384</v>
      </c>
      <c r="J26" s="92"/>
      <c r="K26" s="1533"/>
    </row>
    <row r="27" spans="1:15" s="91" customFormat="1" ht="15.75" customHeight="1">
      <c r="A27" s="516" t="str">
        <f>'fiche technique'!A9</f>
        <v>Source: GALAXIE (ANTARES-ANTEE &amp; FIDIS), DGRH A1-1 &amp; DGRH A2, juin 2014</v>
      </c>
      <c r="B27" s="94"/>
      <c r="C27" s="94"/>
      <c r="D27" s="95"/>
      <c r="E27" s="95"/>
      <c r="F27" s="95"/>
      <c r="G27" s="95"/>
      <c r="H27" s="95"/>
      <c r="I27" s="95"/>
      <c r="J27" s="92"/>
    </row>
    <row r="28" spans="1:15" s="81" customFormat="1" ht="15.6">
      <c r="A28" s="82" t="s">
        <v>717</v>
      </c>
      <c r="B28" s="83"/>
      <c r="C28" s="83"/>
      <c r="D28" s="83"/>
      <c r="E28" s="83"/>
      <c r="F28" s="83"/>
      <c r="G28" s="83"/>
      <c r="H28" s="97"/>
      <c r="I28" s="84"/>
      <c r="J28" s="84"/>
    </row>
    <row r="29" spans="1:15" s="81" customFormat="1" ht="15.6">
      <c r="A29" s="1927"/>
      <c r="B29" s="83"/>
      <c r="C29" s="83"/>
      <c r="D29" s="83"/>
      <c r="E29" s="1927"/>
      <c r="F29" s="1927"/>
      <c r="G29" s="83"/>
      <c r="H29" s="97"/>
      <c r="I29" s="84"/>
      <c r="J29" s="84"/>
      <c r="O29" s="1536"/>
    </row>
    <row r="30" spans="1:15" s="81" customFormat="1" ht="15.6">
      <c r="A30" s="82"/>
      <c r="B30" s="83"/>
      <c r="C30" s="83"/>
      <c r="D30" s="83"/>
      <c r="E30" s="83"/>
      <c r="F30" s="83"/>
      <c r="G30" s="83"/>
      <c r="H30" s="97"/>
      <c r="I30" s="84"/>
      <c r="J30" s="84"/>
    </row>
    <row r="31" spans="1:15" ht="15.75" customHeight="1">
      <c r="A31" s="82"/>
    </row>
    <row r="32" spans="1:15">
      <c r="A32"/>
      <c r="B32"/>
      <c r="C32"/>
      <c r="D32"/>
      <c r="E32"/>
      <c r="F32"/>
      <c r="G32"/>
      <c r="H32"/>
      <c r="I32"/>
      <c r="J32"/>
    </row>
    <row r="33" spans="1:10">
      <c r="A33"/>
      <c r="B33"/>
      <c r="C33"/>
      <c r="D33"/>
      <c r="E33"/>
      <c r="F33"/>
      <c r="G33"/>
      <c r="H33"/>
      <c r="I33"/>
      <c r="J33"/>
    </row>
  </sheetData>
  <mergeCells count="8">
    <mergeCell ref="A4:I4"/>
    <mergeCell ref="A5:I5"/>
    <mergeCell ref="B8:B9"/>
    <mergeCell ref="D8:D9"/>
    <mergeCell ref="E8:E9"/>
    <mergeCell ref="F8:F9"/>
    <mergeCell ref="G8:G9"/>
    <mergeCell ref="H8:I8"/>
  </mergeCells>
  <dataValidations disablePrompts="1" count="1">
    <dataValidation type="list" showInputMessage="1" showErrorMessage="1" sqref="L14:L16">
      <formula1>$L$14:$L$15</formula1>
    </dataValidation>
  </dataValidations>
  <printOptions horizontalCentered="1"/>
  <pageMargins left="0.39370078740157483" right="0.39370078740157483" top="0.59055118110236227" bottom="0.59055118110236227" header="0.31496062992125984" footer="0.31496062992125984"/>
  <pageSetup paperSize="9" scale="70" orientation="landscape" r:id="rId1"/>
  <headerFooter alignWithMargins="0">
    <oddHeader>&amp;LDGRH A1-1</oddHeader>
    <oddFooter>&amp;CPage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Feuil33">
    <tabColor rgb="FFFFFF66"/>
    <pageSetUpPr fitToPage="1"/>
  </sheetPr>
  <dimension ref="A1:S80"/>
  <sheetViews>
    <sheetView showZeros="0" topLeftCell="A27" zoomScale="75" zoomScaleNormal="75" workbookViewId="0">
      <selection activeCell="L18" sqref="L18"/>
    </sheetView>
  </sheetViews>
  <sheetFormatPr baseColWidth="10" defaultColWidth="11.44140625" defaultRowHeight="13.2"/>
  <cols>
    <col min="1" max="1" width="6.88671875" style="64" customWidth="1"/>
    <col min="2" max="2" width="66" style="64" customWidth="1"/>
    <col min="3" max="3" width="9.109375" style="64" customWidth="1"/>
    <col min="4" max="4" width="8.6640625" style="64" customWidth="1"/>
    <col min="5" max="5" width="9.109375" style="64" customWidth="1"/>
    <col min="6" max="6" width="10.44140625" style="64" customWidth="1"/>
    <col min="7" max="9" width="9.109375" style="64" customWidth="1"/>
    <col min="10" max="10" width="11" style="64" customWidth="1"/>
    <col min="11" max="16384" width="11.44140625" style="64"/>
  </cols>
  <sheetData>
    <row r="1" spans="1:18" ht="15" customHeight="1"/>
    <row r="2" spans="1:18" ht="24" customHeight="1">
      <c r="A2" s="2107" t="str">
        <f>'fiche technique'!A16</f>
        <v xml:space="preserve">Bilan de la campagne 2014 de recrutement et d'affectation des maîtres de conférences et des professeurs des universités </v>
      </c>
      <c r="B2" s="2107"/>
      <c r="C2" s="2107"/>
      <c r="D2" s="2107"/>
      <c r="E2" s="2107"/>
      <c r="F2" s="2107"/>
      <c r="G2" s="2107"/>
      <c r="H2" s="2107"/>
      <c r="I2" s="2107"/>
      <c r="J2" s="2107"/>
    </row>
    <row r="3" spans="1:18" ht="24" customHeight="1">
      <c r="A3" s="2107" t="str">
        <f>'fiche technique'!A8</f>
        <v>Session "synchronisée" (ANTEE)</v>
      </c>
      <c r="B3" s="2107"/>
      <c r="C3" s="2107"/>
      <c r="D3" s="2107"/>
      <c r="E3" s="2107"/>
      <c r="F3" s="2107"/>
      <c r="G3" s="2107"/>
      <c r="H3" s="2107"/>
      <c r="I3" s="2107"/>
      <c r="J3" s="2107"/>
    </row>
    <row r="4" spans="1:18" ht="15" customHeight="1">
      <c r="A4" s="245"/>
      <c r="B4" s="245"/>
      <c r="C4" s="245"/>
      <c r="D4" s="245"/>
      <c r="E4" s="245"/>
      <c r="F4" s="245"/>
      <c r="G4" s="245"/>
      <c r="H4" s="245"/>
      <c r="I4" s="245"/>
      <c r="J4" s="245"/>
    </row>
    <row r="5" spans="1:18" ht="20.25" customHeight="1">
      <c r="A5" s="2108" t="s">
        <v>114</v>
      </c>
      <c r="B5" s="2108"/>
      <c r="C5" s="2108"/>
      <c r="D5" s="2108"/>
      <c r="E5" s="2108"/>
      <c r="F5" s="2108"/>
      <c r="G5" s="2108"/>
      <c r="H5" s="2108"/>
      <c r="I5" s="2108"/>
      <c r="J5" s="2108"/>
    </row>
    <row r="6" spans="1:18" ht="20.25" customHeight="1">
      <c r="A6" s="2108" t="s">
        <v>263</v>
      </c>
      <c r="B6" s="2108"/>
      <c r="C6" s="2108"/>
      <c r="D6" s="2108"/>
      <c r="E6" s="2108"/>
      <c r="F6" s="2108"/>
      <c r="G6" s="2108"/>
      <c r="H6" s="2108"/>
      <c r="I6" s="2108"/>
      <c r="J6" s="2108"/>
    </row>
    <row r="7" spans="1:18" ht="15" customHeight="1">
      <c r="A7" s="240"/>
      <c r="B7" s="240"/>
      <c r="C7" s="240"/>
      <c r="D7" s="240"/>
      <c r="E7" s="240"/>
      <c r="F7" s="240"/>
      <c r="G7" s="240"/>
      <c r="H7" s="240"/>
      <c r="I7" s="240"/>
      <c r="J7" s="240"/>
    </row>
    <row r="8" spans="1:18" ht="15" customHeight="1" thickBot="1">
      <c r="A8" s="11"/>
      <c r="B8" s="50"/>
      <c r="C8" s="1905"/>
      <c r="D8" s="1905"/>
      <c r="E8" s="1905"/>
      <c r="F8" s="1905"/>
      <c r="G8" s="245"/>
      <c r="H8" s="245"/>
      <c r="I8" s="245"/>
      <c r="J8" s="245"/>
    </row>
    <row r="9" spans="1:18" ht="15.75" customHeight="1" thickBot="1">
      <c r="A9" s="664"/>
      <c r="B9" s="67"/>
      <c r="C9" s="2109" t="s">
        <v>143</v>
      </c>
      <c r="D9" s="2110"/>
      <c r="E9" s="2110"/>
      <c r="F9" s="2111"/>
      <c r="G9" s="2112" t="s">
        <v>124</v>
      </c>
      <c r="H9" s="2110"/>
      <c r="I9" s="2110"/>
      <c r="J9" s="2113"/>
    </row>
    <row r="10" spans="1:18" ht="40.5" customHeight="1">
      <c r="A10" s="1886" t="s">
        <v>8</v>
      </c>
      <c r="B10" s="1904" t="s">
        <v>125</v>
      </c>
      <c r="C10" s="226" t="s">
        <v>144</v>
      </c>
      <c r="D10" s="226" t="s">
        <v>145</v>
      </c>
      <c r="E10" s="226" t="s">
        <v>146</v>
      </c>
      <c r="F10" s="226" t="s">
        <v>151</v>
      </c>
      <c r="G10" s="226" t="s">
        <v>144</v>
      </c>
      <c r="H10" s="226" t="s">
        <v>145</v>
      </c>
      <c r="I10" s="226" t="s">
        <v>146</v>
      </c>
      <c r="J10" s="232" t="s">
        <v>151</v>
      </c>
    </row>
    <row r="11" spans="1:18" s="68" customFormat="1">
      <c r="A11" s="233" t="s">
        <v>9</v>
      </c>
      <c r="B11" s="234" t="s">
        <v>10</v>
      </c>
      <c r="C11" s="221">
        <v>60</v>
      </c>
      <c r="D11" s="221">
        <v>3</v>
      </c>
      <c r="E11" s="221">
        <f>C11-D11</f>
        <v>57</v>
      </c>
      <c r="F11" s="665">
        <f>E11/C11</f>
        <v>0.95</v>
      </c>
      <c r="G11" s="221"/>
      <c r="H11" s="221"/>
      <c r="I11" s="221">
        <f>G11-H11</f>
        <v>0</v>
      </c>
      <c r="J11" s="670"/>
      <c r="K11" s="369"/>
      <c r="M11" s="369"/>
    </row>
    <row r="12" spans="1:18" s="68" customFormat="1">
      <c r="A12" s="235" t="s">
        <v>11</v>
      </c>
      <c r="B12" s="220" t="s">
        <v>12</v>
      </c>
      <c r="C12" s="246">
        <v>32</v>
      </c>
      <c r="D12" s="246"/>
      <c r="E12" s="246">
        <f t="shared" ref="E12:E67" si="0">C12-D12</f>
        <v>32</v>
      </c>
      <c r="F12" s="666">
        <f t="shared" ref="F12:F67" si="1">E12/C12</f>
        <v>1</v>
      </c>
      <c r="G12" s="246"/>
      <c r="H12" s="246"/>
      <c r="I12" s="246">
        <f t="shared" ref="I12:I67" si="2">G12-H12</f>
        <v>0</v>
      </c>
      <c r="J12" s="670"/>
      <c r="K12" s="369"/>
      <c r="M12" s="369"/>
    </row>
    <row r="13" spans="1:18" s="68" customFormat="1">
      <c r="A13" s="235" t="s">
        <v>13</v>
      </c>
      <c r="B13" s="220" t="s">
        <v>14</v>
      </c>
      <c r="C13" s="246">
        <v>4</v>
      </c>
      <c r="D13" s="246"/>
      <c r="E13" s="246">
        <f t="shared" si="0"/>
        <v>4</v>
      </c>
      <c r="F13" s="666">
        <f t="shared" si="1"/>
        <v>1</v>
      </c>
      <c r="G13" s="246"/>
      <c r="H13" s="246"/>
      <c r="I13" s="246">
        <f t="shared" si="2"/>
        <v>0</v>
      </c>
      <c r="J13" s="670"/>
      <c r="K13" s="369"/>
      <c r="M13" s="369"/>
    </row>
    <row r="14" spans="1:18" s="68" customFormat="1">
      <c r="A14" s="235" t="s">
        <v>15</v>
      </c>
      <c r="B14" s="220" t="s">
        <v>16</v>
      </c>
      <c r="C14" s="246">
        <v>17</v>
      </c>
      <c r="D14" s="246"/>
      <c r="E14" s="246">
        <f t="shared" si="0"/>
        <v>17</v>
      </c>
      <c r="F14" s="666">
        <f t="shared" si="1"/>
        <v>1</v>
      </c>
      <c r="G14" s="246"/>
      <c r="H14" s="246"/>
      <c r="I14" s="246">
        <f t="shared" si="2"/>
        <v>0</v>
      </c>
      <c r="J14" s="670"/>
      <c r="K14" s="369"/>
      <c r="M14" s="369"/>
      <c r="O14"/>
      <c r="P14"/>
      <c r="Q14"/>
      <c r="R14"/>
    </row>
    <row r="15" spans="1:18" s="68" customFormat="1">
      <c r="A15" s="235" t="s">
        <v>17</v>
      </c>
      <c r="B15" s="220" t="s">
        <v>18</v>
      </c>
      <c r="C15" s="246">
        <v>39</v>
      </c>
      <c r="D15" s="246">
        <v>1</v>
      </c>
      <c r="E15" s="246">
        <f t="shared" si="0"/>
        <v>38</v>
      </c>
      <c r="F15" s="666">
        <f t="shared" si="1"/>
        <v>0.97435897435897434</v>
      </c>
      <c r="G15" s="246">
        <v>2</v>
      </c>
      <c r="H15" s="246">
        <v>0</v>
      </c>
      <c r="I15" s="246">
        <f t="shared" si="2"/>
        <v>2</v>
      </c>
      <c r="J15" s="670">
        <f t="shared" ref="J15:J67" si="3">I15/G15</f>
        <v>1</v>
      </c>
      <c r="K15" s="369"/>
      <c r="M15" s="369"/>
      <c r="O15"/>
      <c r="P15"/>
      <c r="Q15"/>
      <c r="R15"/>
    </row>
    <row r="16" spans="1:18" s="68" customFormat="1">
      <c r="A16" s="235" t="s">
        <v>19</v>
      </c>
      <c r="B16" s="220" t="s">
        <v>20</v>
      </c>
      <c r="C16" s="246">
        <v>74</v>
      </c>
      <c r="D16" s="246">
        <v>2</v>
      </c>
      <c r="E16" s="246">
        <f t="shared" si="0"/>
        <v>72</v>
      </c>
      <c r="F16" s="666">
        <f t="shared" si="1"/>
        <v>0.97297297297297303</v>
      </c>
      <c r="G16" s="246">
        <v>2</v>
      </c>
      <c r="H16" s="246">
        <v>1</v>
      </c>
      <c r="I16" s="246">
        <f t="shared" si="2"/>
        <v>1</v>
      </c>
      <c r="J16" s="670">
        <f t="shared" si="3"/>
        <v>0.5</v>
      </c>
      <c r="K16" s="369"/>
      <c r="M16" s="369"/>
      <c r="O16"/>
      <c r="P16"/>
      <c r="Q16"/>
      <c r="R16"/>
    </row>
    <row r="17" spans="1:18" s="68" customFormat="1">
      <c r="A17" s="235" t="s">
        <v>21</v>
      </c>
      <c r="B17" s="220" t="s">
        <v>22</v>
      </c>
      <c r="C17" s="246">
        <v>27</v>
      </c>
      <c r="D17" s="246">
        <v>1</v>
      </c>
      <c r="E17" s="246">
        <f t="shared" si="0"/>
        <v>26</v>
      </c>
      <c r="F17" s="666">
        <f t="shared" si="1"/>
        <v>0.96296296296296291</v>
      </c>
      <c r="G17" s="246">
        <v>21</v>
      </c>
      <c r="H17" s="246"/>
      <c r="I17" s="246">
        <f t="shared" si="2"/>
        <v>21</v>
      </c>
      <c r="J17" s="670">
        <f t="shared" si="3"/>
        <v>1</v>
      </c>
      <c r="K17" s="369"/>
      <c r="M17" s="369"/>
      <c r="O17"/>
      <c r="P17"/>
      <c r="Q17"/>
      <c r="R17"/>
    </row>
    <row r="18" spans="1:18" s="68" customFormat="1">
      <c r="A18" s="235" t="s">
        <v>23</v>
      </c>
      <c r="B18" s="220" t="s">
        <v>24</v>
      </c>
      <c r="C18" s="246">
        <v>9</v>
      </c>
      <c r="D18" s="246"/>
      <c r="E18" s="246">
        <f t="shared" si="0"/>
        <v>9</v>
      </c>
      <c r="F18" s="666">
        <f t="shared" si="1"/>
        <v>1</v>
      </c>
      <c r="G18" s="246">
        <v>3</v>
      </c>
      <c r="H18" s="246">
        <v>1</v>
      </c>
      <c r="I18" s="246">
        <f t="shared" si="2"/>
        <v>2</v>
      </c>
      <c r="J18" s="670">
        <f t="shared" si="3"/>
        <v>0.66666666666666663</v>
      </c>
      <c r="K18" s="369"/>
      <c r="M18" s="369"/>
      <c r="O18"/>
      <c r="P18"/>
      <c r="Q18"/>
      <c r="R18"/>
    </row>
    <row r="19" spans="1:18" s="68" customFormat="1">
      <c r="A19" s="235" t="s">
        <v>25</v>
      </c>
      <c r="B19" s="220" t="s">
        <v>26</v>
      </c>
      <c r="C19" s="246">
        <v>13</v>
      </c>
      <c r="D19" s="246">
        <v>2</v>
      </c>
      <c r="E19" s="246">
        <f t="shared" si="0"/>
        <v>11</v>
      </c>
      <c r="F19" s="666">
        <f t="shared" si="1"/>
        <v>0.84615384615384615</v>
      </c>
      <c r="G19" s="246">
        <v>17</v>
      </c>
      <c r="H19" s="246"/>
      <c r="I19" s="246">
        <f t="shared" si="2"/>
        <v>17</v>
      </c>
      <c r="J19" s="670">
        <f t="shared" si="3"/>
        <v>1</v>
      </c>
      <c r="K19" s="369"/>
      <c r="M19" s="369"/>
      <c r="O19"/>
      <c r="P19"/>
      <c r="Q19"/>
      <c r="R19"/>
    </row>
    <row r="20" spans="1:18" s="68" customFormat="1">
      <c r="A20" s="235" t="s">
        <v>27</v>
      </c>
      <c r="B20" s="220" t="s">
        <v>28</v>
      </c>
      <c r="C20" s="246">
        <v>7</v>
      </c>
      <c r="D20" s="246"/>
      <c r="E20" s="246">
        <f t="shared" si="0"/>
        <v>7</v>
      </c>
      <c r="F20" s="666">
        <f t="shared" si="1"/>
        <v>1</v>
      </c>
      <c r="G20" s="246">
        <v>2</v>
      </c>
      <c r="H20" s="246"/>
      <c r="I20" s="246">
        <f t="shared" si="2"/>
        <v>2</v>
      </c>
      <c r="J20" s="670">
        <f t="shared" si="3"/>
        <v>1</v>
      </c>
      <c r="K20" s="369"/>
      <c r="M20" s="369"/>
      <c r="O20"/>
      <c r="P20"/>
      <c r="Q20"/>
      <c r="R20"/>
    </row>
    <row r="21" spans="1:18" s="68" customFormat="1">
      <c r="A21" s="235" t="s">
        <v>29</v>
      </c>
      <c r="B21" s="220" t="s">
        <v>30</v>
      </c>
      <c r="C21" s="246">
        <v>50</v>
      </c>
      <c r="D21" s="246">
        <v>2</v>
      </c>
      <c r="E21" s="246">
        <f t="shared" si="0"/>
        <v>48</v>
      </c>
      <c r="F21" s="666">
        <f t="shared" si="1"/>
        <v>0.96</v>
      </c>
      <c r="G21" s="246">
        <v>24</v>
      </c>
      <c r="H21" s="246">
        <v>5</v>
      </c>
      <c r="I21" s="246">
        <f t="shared" si="2"/>
        <v>19</v>
      </c>
      <c r="J21" s="670">
        <f t="shared" si="3"/>
        <v>0.79166666666666663</v>
      </c>
      <c r="K21" s="369"/>
      <c r="M21" s="369"/>
      <c r="O21"/>
      <c r="P21"/>
      <c r="Q21"/>
      <c r="R21"/>
    </row>
    <row r="22" spans="1:18" s="68" customFormat="1">
      <c r="A22" s="235" t="s">
        <v>31</v>
      </c>
      <c r="B22" s="220" t="s">
        <v>32</v>
      </c>
      <c r="C22" s="246">
        <v>5</v>
      </c>
      <c r="D22" s="246"/>
      <c r="E22" s="246">
        <f t="shared" si="0"/>
        <v>5</v>
      </c>
      <c r="F22" s="666">
        <f t="shared" si="1"/>
        <v>1</v>
      </c>
      <c r="G22" s="246">
        <v>4</v>
      </c>
      <c r="H22" s="246"/>
      <c r="I22" s="246">
        <f t="shared" si="2"/>
        <v>4</v>
      </c>
      <c r="J22" s="670">
        <f t="shared" si="3"/>
        <v>1</v>
      </c>
      <c r="K22" s="369"/>
      <c r="M22" s="369"/>
      <c r="O22"/>
      <c r="P22"/>
      <c r="Q22"/>
      <c r="R22"/>
    </row>
    <row r="23" spans="1:18" s="68" customFormat="1">
      <c r="A23" s="235" t="s">
        <v>33</v>
      </c>
      <c r="B23" s="220" t="s">
        <v>34</v>
      </c>
      <c r="C23" s="246">
        <v>2</v>
      </c>
      <c r="D23" s="246">
        <v>1</v>
      </c>
      <c r="E23" s="246">
        <f t="shared" si="0"/>
        <v>1</v>
      </c>
      <c r="F23" s="666">
        <f t="shared" si="1"/>
        <v>0.5</v>
      </c>
      <c r="G23" s="246"/>
      <c r="H23" s="246"/>
      <c r="I23" s="246">
        <f t="shared" si="2"/>
        <v>0</v>
      </c>
      <c r="J23" s="670"/>
      <c r="K23" s="369"/>
      <c r="M23" s="369"/>
      <c r="O23"/>
      <c r="P23"/>
      <c r="Q23"/>
      <c r="R23"/>
    </row>
    <row r="24" spans="1:18" s="68" customFormat="1">
      <c r="A24" s="235" t="s">
        <v>35</v>
      </c>
      <c r="B24" s="220" t="s">
        <v>36</v>
      </c>
      <c r="C24" s="246">
        <v>29</v>
      </c>
      <c r="D24" s="246">
        <v>3</v>
      </c>
      <c r="E24" s="246">
        <f t="shared" si="0"/>
        <v>26</v>
      </c>
      <c r="F24" s="666">
        <f t="shared" si="1"/>
        <v>0.89655172413793105</v>
      </c>
      <c r="G24" s="246">
        <v>18</v>
      </c>
      <c r="H24" s="246">
        <v>2</v>
      </c>
      <c r="I24" s="246">
        <f t="shared" si="2"/>
        <v>16</v>
      </c>
      <c r="J24" s="670">
        <f t="shared" si="3"/>
        <v>0.88888888888888884</v>
      </c>
      <c r="K24" s="369"/>
      <c r="M24" s="369"/>
      <c r="O24"/>
      <c r="P24"/>
      <c r="Q24"/>
      <c r="R24"/>
    </row>
    <row r="25" spans="1:18" s="68" customFormat="1" ht="26.4">
      <c r="A25" s="235" t="s">
        <v>37</v>
      </c>
      <c r="B25" s="220" t="s">
        <v>122</v>
      </c>
      <c r="C25" s="246">
        <v>15</v>
      </c>
      <c r="D25" s="246"/>
      <c r="E25" s="246">
        <f t="shared" si="0"/>
        <v>15</v>
      </c>
      <c r="F25" s="666">
        <f t="shared" si="1"/>
        <v>1</v>
      </c>
      <c r="G25" s="246">
        <v>8</v>
      </c>
      <c r="H25" s="246">
        <v>3</v>
      </c>
      <c r="I25" s="246">
        <f t="shared" si="2"/>
        <v>5</v>
      </c>
      <c r="J25" s="670">
        <f t="shared" si="3"/>
        <v>0.625</v>
      </c>
      <c r="K25" s="369"/>
      <c r="M25" s="369"/>
      <c r="O25"/>
      <c r="P25"/>
      <c r="Q25"/>
      <c r="R25"/>
    </row>
    <row r="26" spans="1:18" s="68" customFormat="1">
      <c r="A26" s="235" t="s">
        <v>38</v>
      </c>
      <c r="B26" s="220" t="s">
        <v>39</v>
      </c>
      <c r="C26" s="246">
        <v>52</v>
      </c>
      <c r="D26" s="246">
        <v>4</v>
      </c>
      <c r="E26" s="246">
        <f t="shared" si="0"/>
        <v>48</v>
      </c>
      <c r="F26" s="666">
        <f t="shared" si="1"/>
        <v>0.92307692307692313</v>
      </c>
      <c r="G26" s="246">
        <v>32</v>
      </c>
      <c r="H26" s="246">
        <v>8</v>
      </c>
      <c r="I26" s="246">
        <f t="shared" si="2"/>
        <v>24</v>
      </c>
      <c r="J26" s="670">
        <f t="shared" si="3"/>
        <v>0.75</v>
      </c>
      <c r="K26" s="369"/>
      <c r="M26" s="369"/>
      <c r="O26"/>
      <c r="P26"/>
      <c r="Q26"/>
      <c r="R26"/>
    </row>
    <row r="27" spans="1:18" s="68" customFormat="1">
      <c r="A27" s="235" t="s">
        <v>40</v>
      </c>
      <c r="B27" s="220" t="s">
        <v>41</v>
      </c>
      <c r="C27" s="246">
        <v>12</v>
      </c>
      <c r="D27" s="246"/>
      <c r="E27" s="246">
        <f t="shared" si="0"/>
        <v>12</v>
      </c>
      <c r="F27" s="666">
        <f t="shared" si="1"/>
        <v>1</v>
      </c>
      <c r="G27" s="246">
        <v>12</v>
      </c>
      <c r="H27" s="246">
        <v>1</v>
      </c>
      <c r="I27" s="246">
        <f t="shared" si="2"/>
        <v>11</v>
      </c>
      <c r="J27" s="670">
        <f t="shared" si="3"/>
        <v>0.91666666666666663</v>
      </c>
      <c r="K27" s="369"/>
      <c r="M27" s="369"/>
      <c r="O27"/>
      <c r="P27"/>
      <c r="Q27"/>
      <c r="R27"/>
    </row>
    <row r="28" spans="1:18" s="68" customFormat="1" ht="39.6">
      <c r="A28" s="235" t="s">
        <v>42</v>
      </c>
      <c r="B28" s="220" t="s">
        <v>230</v>
      </c>
      <c r="C28" s="246">
        <v>32</v>
      </c>
      <c r="D28" s="246">
        <v>2</v>
      </c>
      <c r="E28" s="246">
        <f t="shared" si="0"/>
        <v>30</v>
      </c>
      <c r="F28" s="666">
        <f t="shared" si="1"/>
        <v>0.9375</v>
      </c>
      <c r="G28" s="246">
        <v>17</v>
      </c>
      <c r="H28" s="246">
        <v>2</v>
      </c>
      <c r="I28" s="246">
        <f t="shared" si="2"/>
        <v>15</v>
      </c>
      <c r="J28" s="670">
        <f t="shared" si="3"/>
        <v>0.88235294117647056</v>
      </c>
      <c r="K28" s="369"/>
      <c r="M28" s="369"/>
      <c r="O28"/>
      <c r="P28"/>
      <c r="Q28"/>
      <c r="R28"/>
    </row>
    <row r="29" spans="1:18" s="68" customFormat="1">
      <c r="A29" s="235">
        <v>19</v>
      </c>
      <c r="B29" s="220" t="s">
        <v>44</v>
      </c>
      <c r="C29" s="246">
        <v>28</v>
      </c>
      <c r="D29" s="1963"/>
      <c r="E29" s="246">
        <v>28</v>
      </c>
      <c r="F29" s="666">
        <f t="shared" si="1"/>
        <v>1</v>
      </c>
      <c r="G29" s="246">
        <v>16</v>
      </c>
      <c r="H29" s="246">
        <v>1</v>
      </c>
      <c r="I29" s="246">
        <f t="shared" si="2"/>
        <v>15</v>
      </c>
      <c r="J29" s="670">
        <f t="shared" si="3"/>
        <v>0.9375</v>
      </c>
      <c r="K29" s="369"/>
      <c r="M29" s="369"/>
      <c r="O29"/>
      <c r="P29"/>
      <c r="Q29"/>
      <c r="R29"/>
    </row>
    <row r="30" spans="1:18" s="68" customFormat="1">
      <c r="A30" s="235" t="s">
        <v>45</v>
      </c>
      <c r="B30" s="220" t="s">
        <v>320</v>
      </c>
      <c r="C30" s="246">
        <v>5</v>
      </c>
      <c r="D30" s="246"/>
      <c r="E30" s="246">
        <f t="shared" si="0"/>
        <v>5</v>
      </c>
      <c r="F30" s="666">
        <f t="shared" si="1"/>
        <v>1</v>
      </c>
      <c r="G30" s="246">
        <v>6</v>
      </c>
      <c r="H30" s="246"/>
      <c r="I30" s="246">
        <f t="shared" si="2"/>
        <v>6</v>
      </c>
      <c r="J30" s="670">
        <f t="shared" si="3"/>
        <v>1</v>
      </c>
      <c r="K30" s="369"/>
      <c r="M30" s="369"/>
      <c r="O30"/>
      <c r="P30"/>
      <c r="Q30"/>
      <c r="R30"/>
    </row>
    <row r="31" spans="1:18" s="68" customFormat="1" ht="26.4">
      <c r="A31" s="235" t="s">
        <v>46</v>
      </c>
      <c r="B31" s="220" t="s">
        <v>231</v>
      </c>
      <c r="C31" s="246">
        <v>15</v>
      </c>
      <c r="D31" s="246"/>
      <c r="E31" s="246">
        <f t="shared" si="0"/>
        <v>15</v>
      </c>
      <c r="F31" s="666">
        <f t="shared" si="1"/>
        <v>1</v>
      </c>
      <c r="G31" s="246">
        <v>14</v>
      </c>
      <c r="H31" s="246">
        <v>3</v>
      </c>
      <c r="I31" s="246">
        <f t="shared" si="2"/>
        <v>11</v>
      </c>
      <c r="J31" s="670">
        <f t="shared" si="3"/>
        <v>0.7857142857142857</v>
      </c>
      <c r="K31" s="369"/>
      <c r="M31" s="369"/>
      <c r="O31"/>
      <c r="P31"/>
      <c r="Q31"/>
      <c r="R31"/>
    </row>
    <row r="32" spans="1:18" s="68" customFormat="1" ht="26.4">
      <c r="A32" s="235" t="s">
        <v>47</v>
      </c>
      <c r="B32" s="220" t="s">
        <v>232</v>
      </c>
      <c r="C32" s="246">
        <v>39</v>
      </c>
      <c r="D32" s="246">
        <v>2</v>
      </c>
      <c r="E32" s="246">
        <f t="shared" si="0"/>
        <v>37</v>
      </c>
      <c r="F32" s="666">
        <f t="shared" si="1"/>
        <v>0.94871794871794868</v>
      </c>
      <c r="G32" s="246">
        <v>16</v>
      </c>
      <c r="H32" s="246"/>
      <c r="I32" s="246">
        <f t="shared" si="2"/>
        <v>16</v>
      </c>
      <c r="J32" s="670">
        <f t="shared" si="3"/>
        <v>1</v>
      </c>
      <c r="K32" s="369"/>
      <c r="M32" s="369"/>
      <c r="O32"/>
      <c r="P32"/>
      <c r="Q32"/>
      <c r="R32"/>
    </row>
    <row r="33" spans="1:18" s="68" customFormat="1">
      <c r="A33" s="235" t="s">
        <v>48</v>
      </c>
      <c r="B33" s="220" t="s">
        <v>49</v>
      </c>
      <c r="C33" s="246">
        <v>18</v>
      </c>
      <c r="D33" s="246"/>
      <c r="E33" s="246">
        <f t="shared" si="0"/>
        <v>18</v>
      </c>
      <c r="F33" s="666">
        <f t="shared" si="1"/>
        <v>1</v>
      </c>
      <c r="G33" s="246">
        <v>10</v>
      </c>
      <c r="H33" s="246">
        <v>1</v>
      </c>
      <c r="I33" s="246">
        <f t="shared" si="2"/>
        <v>9</v>
      </c>
      <c r="J33" s="670">
        <f t="shared" si="3"/>
        <v>0.9</v>
      </c>
      <c r="K33" s="369"/>
      <c r="M33" s="369"/>
      <c r="O33"/>
      <c r="P33"/>
      <c r="Q33"/>
      <c r="R33"/>
    </row>
    <row r="34" spans="1:18" s="68" customFormat="1">
      <c r="A34" s="235" t="s">
        <v>50</v>
      </c>
      <c r="B34" s="220" t="s">
        <v>51</v>
      </c>
      <c r="C34" s="246">
        <v>6</v>
      </c>
      <c r="D34" s="246"/>
      <c r="E34" s="246">
        <f t="shared" si="0"/>
        <v>6</v>
      </c>
      <c r="F34" s="666">
        <f t="shared" si="1"/>
        <v>1</v>
      </c>
      <c r="G34" s="246">
        <v>8</v>
      </c>
      <c r="H34" s="246">
        <v>1</v>
      </c>
      <c r="I34" s="246">
        <f t="shared" si="2"/>
        <v>7</v>
      </c>
      <c r="J34" s="670">
        <f t="shared" si="3"/>
        <v>0.875</v>
      </c>
      <c r="K34" s="369"/>
      <c r="M34" s="369"/>
      <c r="O34"/>
      <c r="P34"/>
      <c r="Q34"/>
      <c r="R34"/>
    </row>
    <row r="35" spans="1:18" s="68" customFormat="1">
      <c r="A35" s="235" t="s">
        <v>52</v>
      </c>
      <c r="B35" s="220" t="s">
        <v>53</v>
      </c>
      <c r="C35" s="246">
        <v>16</v>
      </c>
      <c r="D35" s="246"/>
      <c r="E35" s="246">
        <f t="shared" si="0"/>
        <v>16</v>
      </c>
      <c r="F35" s="666">
        <f t="shared" si="1"/>
        <v>1</v>
      </c>
      <c r="G35" s="246">
        <v>11</v>
      </c>
      <c r="H35" s="246"/>
      <c r="I35" s="246">
        <f t="shared" si="2"/>
        <v>11</v>
      </c>
      <c r="J35" s="670">
        <f t="shared" si="3"/>
        <v>1</v>
      </c>
      <c r="K35" s="369"/>
      <c r="M35" s="369"/>
      <c r="O35"/>
      <c r="P35"/>
      <c r="Q35"/>
      <c r="R35"/>
    </row>
    <row r="36" spans="1:18" s="68" customFormat="1">
      <c r="A36" s="235" t="s">
        <v>54</v>
      </c>
      <c r="B36" s="220" t="s">
        <v>55</v>
      </c>
      <c r="C36" s="246">
        <v>45</v>
      </c>
      <c r="D36" s="246">
        <v>1</v>
      </c>
      <c r="E36" s="246">
        <f t="shared" si="0"/>
        <v>44</v>
      </c>
      <c r="F36" s="666">
        <f t="shared" si="1"/>
        <v>0.97777777777777775</v>
      </c>
      <c r="G36" s="246">
        <v>24</v>
      </c>
      <c r="H36" s="246"/>
      <c r="I36" s="246">
        <f t="shared" si="2"/>
        <v>24</v>
      </c>
      <c r="J36" s="670">
        <f t="shared" si="3"/>
        <v>1</v>
      </c>
      <c r="K36" s="369"/>
      <c r="M36" s="369"/>
      <c r="O36"/>
      <c r="P36"/>
      <c r="Q36"/>
      <c r="R36"/>
    </row>
    <row r="37" spans="1:18" s="68" customFormat="1">
      <c r="A37" s="235" t="s">
        <v>56</v>
      </c>
      <c r="B37" s="220" t="s">
        <v>57</v>
      </c>
      <c r="C37" s="246">
        <v>84</v>
      </c>
      <c r="D37" s="246">
        <v>4</v>
      </c>
      <c r="E37" s="246">
        <f t="shared" si="0"/>
        <v>80</v>
      </c>
      <c r="F37" s="666">
        <f t="shared" si="1"/>
        <v>0.95238095238095233</v>
      </c>
      <c r="G37" s="246">
        <v>28</v>
      </c>
      <c r="H37" s="246"/>
      <c r="I37" s="246">
        <f t="shared" si="2"/>
        <v>28</v>
      </c>
      <c r="J37" s="670">
        <f t="shared" si="3"/>
        <v>1</v>
      </c>
      <c r="K37" s="369"/>
      <c r="M37" s="369"/>
      <c r="O37"/>
      <c r="P37"/>
      <c r="Q37"/>
      <c r="R37"/>
    </row>
    <row r="38" spans="1:18" s="68" customFormat="1">
      <c r="A38" s="235" t="s">
        <v>58</v>
      </c>
      <c r="B38" s="220" t="s">
        <v>59</v>
      </c>
      <c r="C38" s="246">
        <v>22</v>
      </c>
      <c r="D38" s="246"/>
      <c r="E38" s="246">
        <f t="shared" si="0"/>
        <v>22</v>
      </c>
      <c r="F38" s="666">
        <f t="shared" si="1"/>
        <v>1</v>
      </c>
      <c r="G38" s="246">
        <v>9</v>
      </c>
      <c r="H38" s="246"/>
      <c r="I38" s="246">
        <f t="shared" si="2"/>
        <v>9</v>
      </c>
      <c r="J38" s="670">
        <f t="shared" si="3"/>
        <v>1</v>
      </c>
      <c r="K38" s="369"/>
      <c r="M38" s="369"/>
      <c r="O38"/>
      <c r="P38"/>
      <c r="Q38"/>
      <c r="R38"/>
    </row>
    <row r="39" spans="1:18" s="68" customFormat="1">
      <c r="A39" s="235" t="s">
        <v>60</v>
      </c>
      <c r="B39" s="220" t="s">
        <v>61</v>
      </c>
      <c r="C39" s="246">
        <v>5</v>
      </c>
      <c r="D39" s="246"/>
      <c r="E39" s="246">
        <f t="shared" si="0"/>
        <v>5</v>
      </c>
      <c r="F39" s="666">
        <f t="shared" si="1"/>
        <v>1</v>
      </c>
      <c r="G39" s="246">
        <v>6</v>
      </c>
      <c r="H39" s="246"/>
      <c r="I39" s="246">
        <f t="shared" si="2"/>
        <v>6</v>
      </c>
      <c r="J39" s="670">
        <f t="shared" si="3"/>
        <v>1</v>
      </c>
      <c r="K39" s="369"/>
      <c r="M39" s="369"/>
      <c r="O39"/>
      <c r="P39"/>
      <c r="Q39"/>
      <c r="R39"/>
    </row>
    <row r="40" spans="1:18" s="68" customFormat="1">
      <c r="A40" s="235" t="s">
        <v>62</v>
      </c>
      <c r="B40" s="220" t="s">
        <v>63</v>
      </c>
      <c r="C40" s="246">
        <v>10</v>
      </c>
      <c r="D40" s="246"/>
      <c r="E40" s="246">
        <f t="shared" si="0"/>
        <v>10</v>
      </c>
      <c r="F40" s="666">
        <f t="shared" si="1"/>
        <v>1</v>
      </c>
      <c r="G40" s="246">
        <v>7</v>
      </c>
      <c r="H40" s="246"/>
      <c r="I40" s="246">
        <f t="shared" si="2"/>
        <v>7</v>
      </c>
      <c r="J40" s="670">
        <f t="shared" si="3"/>
        <v>1</v>
      </c>
      <c r="K40" s="369"/>
      <c r="M40" s="369"/>
      <c r="O40"/>
      <c r="P40"/>
      <c r="Q40"/>
      <c r="R40"/>
    </row>
    <row r="41" spans="1:18" s="68" customFormat="1">
      <c r="A41" s="235" t="s">
        <v>64</v>
      </c>
      <c r="B41" s="220" t="s">
        <v>65</v>
      </c>
      <c r="C41" s="246">
        <v>9</v>
      </c>
      <c r="D41" s="246"/>
      <c r="E41" s="246">
        <f t="shared" si="0"/>
        <v>9</v>
      </c>
      <c r="F41" s="666">
        <f t="shared" si="1"/>
        <v>1</v>
      </c>
      <c r="G41" s="246">
        <v>12</v>
      </c>
      <c r="H41" s="246"/>
      <c r="I41" s="246">
        <f t="shared" si="2"/>
        <v>12</v>
      </c>
      <c r="J41" s="670">
        <f t="shared" si="3"/>
        <v>1</v>
      </c>
      <c r="K41" s="369"/>
      <c r="M41" s="369"/>
      <c r="O41"/>
      <c r="P41"/>
      <c r="Q41"/>
      <c r="R41"/>
    </row>
    <row r="42" spans="1:18" s="68" customFormat="1">
      <c r="A42" s="235" t="s">
        <v>66</v>
      </c>
      <c r="B42" s="220" t="s">
        <v>67</v>
      </c>
      <c r="C42" s="246">
        <v>8</v>
      </c>
      <c r="D42" s="246"/>
      <c r="E42" s="246">
        <f t="shared" si="0"/>
        <v>8</v>
      </c>
      <c r="F42" s="666">
        <f t="shared" si="1"/>
        <v>1</v>
      </c>
      <c r="G42" s="246">
        <v>11</v>
      </c>
      <c r="H42" s="246"/>
      <c r="I42" s="246">
        <f t="shared" si="2"/>
        <v>11</v>
      </c>
      <c r="J42" s="670">
        <f t="shared" si="3"/>
        <v>1</v>
      </c>
      <c r="K42" s="369"/>
      <c r="M42" s="369"/>
      <c r="O42"/>
      <c r="P42"/>
      <c r="Q42"/>
      <c r="R42"/>
    </row>
    <row r="43" spans="1:18" s="68" customFormat="1">
      <c r="A43" s="235" t="s">
        <v>68</v>
      </c>
      <c r="B43" s="220" t="s">
        <v>69</v>
      </c>
      <c r="C43" s="246">
        <v>13</v>
      </c>
      <c r="D43" s="246"/>
      <c r="E43" s="246">
        <f t="shared" si="0"/>
        <v>13</v>
      </c>
      <c r="F43" s="666">
        <f t="shared" si="1"/>
        <v>1</v>
      </c>
      <c r="G43" s="246">
        <v>9</v>
      </c>
      <c r="H43" s="246"/>
      <c r="I43" s="246">
        <f t="shared" si="2"/>
        <v>9</v>
      </c>
      <c r="J43" s="670">
        <f t="shared" si="3"/>
        <v>1</v>
      </c>
      <c r="K43" s="369"/>
      <c r="M43" s="369"/>
      <c r="O43"/>
      <c r="P43"/>
      <c r="Q43"/>
      <c r="R43"/>
    </row>
    <row r="44" spans="1:18" s="68" customFormat="1">
      <c r="A44" s="235" t="s">
        <v>70</v>
      </c>
      <c r="B44" s="220" t="s">
        <v>71</v>
      </c>
      <c r="C44" s="246">
        <v>2</v>
      </c>
      <c r="D44" s="246"/>
      <c r="E44" s="246">
        <f t="shared" si="0"/>
        <v>2</v>
      </c>
      <c r="F44" s="666">
        <f t="shared" si="1"/>
        <v>1</v>
      </c>
      <c r="G44" s="246">
        <v>5</v>
      </c>
      <c r="H44" s="246"/>
      <c r="I44" s="246">
        <f t="shared" si="2"/>
        <v>5</v>
      </c>
      <c r="J44" s="670">
        <f t="shared" si="3"/>
        <v>1</v>
      </c>
      <c r="K44" s="369"/>
      <c r="M44" s="369"/>
      <c r="O44"/>
      <c r="P44"/>
      <c r="Q44"/>
      <c r="R44"/>
    </row>
    <row r="45" spans="1:18" s="68" customFormat="1">
      <c r="A45" s="235" t="s">
        <v>72</v>
      </c>
      <c r="B45" s="220" t="s">
        <v>73</v>
      </c>
      <c r="C45" s="246">
        <v>10</v>
      </c>
      <c r="D45" s="246"/>
      <c r="E45" s="246">
        <f t="shared" si="0"/>
        <v>10</v>
      </c>
      <c r="F45" s="666">
        <f t="shared" si="1"/>
        <v>1</v>
      </c>
      <c r="G45" s="246">
        <v>5</v>
      </c>
      <c r="H45" s="246"/>
      <c r="I45" s="246">
        <f t="shared" si="2"/>
        <v>5</v>
      </c>
      <c r="J45" s="670">
        <f t="shared" si="3"/>
        <v>1</v>
      </c>
      <c r="K45" s="369"/>
      <c r="M45" s="369"/>
      <c r="O45"/>
      <c r="P45"/>
      <c r="Q45"/>
      <c r="R45"/>
    </row>
    <row r="46" spans="1:18" s="68" customFormat="1">
      <c r="A46" s="235" t="s">
        <v>74</v>
      </c>
      <c r="B46" s="220" t="s">
        <v>75</v>
      </c>
      <c r="C46" s="246">
        <v>8</v>
      </c>
      <c r="D46" s="246"/>
      <c r="E46" s="246">
        <f t="shared" si="0"/>
        <v>8</v>
      </c>
      <c r="F46" s="666">
        <f t="shared" si="1"/>
        <v>1</v>
      </c>
      <c r="G46" s="246">
        <v>5</v>
      </c>
      <c r="H46" s="246">
        <v>1</v>
      </c>
      <c r="I46" s="246">
        <f t="shared" si="2"/>
        <v>4</v>
      </c>
      <c r="J46" s="670">
        <f t="shared" si="3"/>
        <v>0.8</v>
      </c>
      <c r="K46" s="369"/>
      <c r="M46" s="369"/>
      <c r="O46"/>
      <c r="P46"/>
      <c r="Q46"/>
      <c r="R46"/>
    </row>
    <row r="47" spans="1:18" s="68" customFormat="1">
      <c r="A47" s="235" t="s">
        <v>76</v>
      </c>
      <c r="B47" s="220" t="s">
        <v>77</v>
      </c>
      <c r="C47" s="246">
        <v>2</v>
      </c>
      <c r="D47" s="246">
        <v>1</v>
      </c>
      <c r="E47" s="246">
        <f t="shared" si="0"/>
        <v>1</v>
      </c>
      <c r="F47" s="666">
        <f t="shared" si="1"/>
        <v>0.5</v>
      </c>
      <c r="G47" s="246">
        <v>2</v>
      </c>
      <c r="H47" s="246"/>
      <c r="I47" s="246">
        <f t="shared" si="2"/>
        <v>2</v>
      </c>
      <c r="J47" s="670">
        <f t="shared" si="3"/>
        <v>1</v>
      </c>
      <c r="K47" s="369"/>
      <c r="M47" s="369"/>
      <c r="O47"/>
      <c r="P47"/>
      <c r="Q47"/>
      <c r="R47"/>
    </row>
    <row r="48" spans="1:18" s="68" customFormat="1">
      <c r="A48" s="235" t="s">
        <v>78</v>
      </c>
      <c r="B48" s="220" t="s">
        <v>79</v>
      </c>
      <c r="C48" s="246">
        <v>57</v>
      </c>
      <c r="D48" s="246">
        <v>4</v>
      </c>
      <c r="E48" s="246">
        <f t="shared" si="0"/>
        <v>53</v>
      </c>
      <c r="F48" s="666">
        <f t="shared" si="1"/>
        <v>0.92982456140350878</v>
      </c>
      <c r="G48" s="246">
        <v>34</v>
      </c>
      <c r="H48" s="246">
        <v>4</v>
      </c>
      <c r="I48" s="246">
        <f t="shared" si="2"/>
        <v>30</v>
      </c>
      <c r="J48" s="670">
        <f t="shared" si="3"/>
        <v>0.88235294117647056</v>
      </c>
      <c r="K48" s="369"/>
      <c r="M48" s="369"/>
      <c r="O48"/>
      <c r="P48"/>
      <c r="Q48"/>
      <c r="R48"/>
    </row>
    <row r="49" spans="1:18" s="68" customFormat="1">
      <c r="A49" s="235" t="s">
        <v>80</v>
      </c>
      <c r="B49" s="220" t="s">
        <v>81</v>
      </c>
      <c r="C49" s="246">
        <v>29</v>
      </c>
      <c r="D49" s="246">
        <v>0</v>
      </c>
      <c r="E49" s="246">
        <f t="shared" si="0"/>
        <v>29</v>
      </c>
      <c r="F49" s="666">
        <f t="shared" si="1"/>
        <v>1</v>
      </c>
      <c r="G49" s="246">
        <v>16</v>
      </c>
      <c r="H49" s="246"/>
      <c r="I49" s="246">
        <f t="shared" si="2"/>
        <v>16</v>
      </c>
      <c r="J49" s="670">
        <f t="shared" si="3"/>
        <v>1</v>
      </c>
      <c r="K49" s="369"/>
      <c r="M49" s="369"/>
      <c r="O49"/>
      <c r="P49"/>
      <c r="Q49"/>
      <c r="R49"/>
    </row>
    <row r="50" spans="1:18" s="68" customFormat="1">
      <c r="A50" s="235" t="s">
        <v>82</v>
      </c>
      <c r="B50" s="220" t="s">
        <v>83</v>
      </c>
      <c r="C50" s="246">
        <v>21</v>
      </c>
      <c r="D50" s="246">
        <v>1</v>
      </c>
      <c r="E50" s="246">
        <f t="shared" si="0"/>
        <v>20</v>
      </c>
      <c r="F50" s="666">
        <f t="shared" si="1"/>
        <v>0.95238095238095233</v>
      </c>
      <c r="G50" s="246">
        <v>15</v>
      </c>
      <c r="H50" s="246"/>
      <c r="I50" s="246">
        <f t="shared" si="2"/>
        <v>15</v>
      </c>
      <c r="J50" s="670">
        <f t="shared" si="3"/>
        <v>1</v>
      </c>
      <c r="K50" s="369"/>
      <c r="M50" s="369"/>
      <c r="O50"/>
      <c r="P50"/>
      <c r="Q50"/>
      <c r="R50"/>
    </row>
    <row r="51" spans="1:18" s="68" customFormat="1">
      <c r="A51" s="235" t="s">
        <v>84</v>
      </c>
      <c r="B51" s="176" t="s">
        <v>355</v>
      </c>
      <c r="C51" s="246">
        <v>18</v>
      </c>
      <c r="D51" s="246"/>
      <c r="E51" s="246">
        <f t="shared" si="0"/>
        <v>18</v>
      </c>
      <c r="F51" s="666">
        <f t="shared" si="1"/>
        <v>1</v>
      </c>
      <c r="G51" s="246">
        <v>14</v>
      </c>
      <c r="H51" s="246"/>
      <c r="I51" s="246">
        <f t="shared" si="2"/>
        <v>14</v>
      </c>
      <c r="J51" s="670">
        <f t="shared" si="3"/>
        <v>1</v>
      </c>
      <c r="K51" s="369"/>
      <c r="M51" s="369"/>
      <c r="O51"/>
      <c r="P51"/>
      <c r="Q51"/>
      <c r="R51"/>
    </row>
    <row r="52" spans="1:18" s="68" customFormat="1">
      <c r="A52" s="235" t="s">
        <v>85</v>
      </c>
      <c r="B52" s="220" t="s">
        <v>86</v>
      </c>
      <c r="C52" s="246">
        <v>20</v>
      </c>
      <c r="D52" s="246">
        <v>1</v>
      </c>
      <c r="E52" s="246">
        <f t="shared" si="0"/>
        <v>19</v>
      </c>
      <c r="F52" s="666">
        <f t="shared" si="1"/>
        <v>0.95</v>
      </c>
      <c r="G52" s="246">
        <v>18</v>
      </c>
      <c r="H52" s="246">
        <v>1</v>
      </c>
      <c r="I52" s="246">
        <f t="shared" si="2"/>
        <v>17</v>
      </c>
      <c r="J52" s="670">
        <f t="shared" si="3"/>
        <v>0.94444444444444442</v>
      </c>
      <c r="K52" s="369"/>
      <c r="M52" s="369"/>
      <c r="O52"/>
      <c r="P52"/>
      <c r="Q52"/>
      <c r="R52"/>
    </row>
    <row r="53" spans="1:18" s="68" customFormat="1">
      <c r="A53" s="235" t="s">
        <v>87</v>
      </c>
      <c r="B53" s="220" t="s">
        <v>88</v>
      </c>
      <c r="C53" s="246">
        <v>16</v>
      </c>
      <c r="D53" s="246"/>
      <c r="E53" s="246">
        <f t="shared" si="0"/>
        <v>16</v>
      </c>
      <c r="F53" s="666">
        <f t="shared" si="1"/>
        <v>1</v>
      </c>
      <c r="G53" s="246">
        <v>8</v>
      </c>
      <c r="H53" s="246">
        <v>1</v>
      </c>
      <c r="I53" s="246">
        <f t="shared" si="2"/>
        <v>7</v>
      </c>
      <c r="J53" s="670">
        <f t="shared" si="3"/>
        <v>0.875</v>
      </c>
      <c r="K53" s="369"/>
      <c r="M53" s="369"/>
      <c r="O53"/>
      <c r="P53"/>
      <c r="Q53"/>
      <c r="R53"/>
    </row>
    <row r="54" spans="1:18" s="68" customFormat="1">
      <c r="A54" s="235" t="s">
        <v>89</v>
      </c>
      <c r="B54" s="220" t="s">
        <v>90</v>
      </c>
      <c r="C54" s="246">
        <v>16</v>
      </c>
      <c r="D54" s="246"/>
      <c r="E54" s="246">
        <f t="shared" si="0"/>
        <v>16</v>
      </c>
      <c r="F54" s="666">
        <f t="shared" si="1"/>
        <v>1</v>
      </c>
      <c r="G54" s="246">
        <v>5</v>
      </c>
      <c r="H54" s="246"/>
      <c r="I54" s="246">
        <f t="shared" si="2"/>
        <v>5</v>
      </c>
      <c r="J54" s="670">
        <f t="shared" si="3"/>
        <v>1</v>
      </c>
      <c r="K54" s="369"/>
      <c r="M54" s="369"/>
      <c r="O54"/>
      <c r="P54"/>
      <c r="Q54"/>
      <c r="R54"/>
    </row>
    <row r="55" spans="1:18" s="68" customFormat="1">
      <c r="A55" s="235" t="s">
        <v>91</v>
      </c>
      <c r="B55" s="220" t="s">
        <v>92</v>
      </c>
      <c r="C55" s="246">
        <v>17</v>
      </c>
      <c r="D55" s="246"/>
      <c r="E55" s="246">
        <f t="shared" si="0"/>
        <v>17</v>
      </c>
      <c r="F55" s="666">
        <f t="shared" si="1"/>
        <v>1</v>
      </c>
      <c r="G55" s="246">
        <v>7</v>
      </c>
      <c r="H55" s="246">
        <v>1</v>
      </c>
      <c r="I55" s="246">
        <f t="shared" si="2"/>
        <v>6</v>
      </c>
      <c r="J55" s="670">
        <f t="shared" si="3"/>
        <v>0.8571428571428571</v>
      </c>
      <c r="K55" s="369"/>
      <c r="M55" s="369"/>
      <c r="O55"/>
      <c r="P55"/>
      <c r="Q55"/>
      <c r="R55"/>
    </row>
    <row r="56" spans="1:18" s="68" customFormat="1">
      <c r="A56" s="235" t="s">
        <v>93</v>
      </c>
      <c r="B56" s="220" t="s">
        <v>94</v>
      </c>
      <c r="C56" s="246">
        <v>7</v>
      </c>
      <c r="D56" s="246"/>
      <c r="E56" s="246">
        <f t="shared" si="0"/>
        <v>7</v>
      </c>
      <c r="F56" s="666">
        <f t="shared" si="1"/>
        <v>1</v>
      </c>
      <c r="G56" s="246">
        <v>2</v>
      </c>
      <c r="H56" s="246"/>
      <c r="I56" s="246">
        <f t="shared" si="2"/>
        <v>2</v>
      </c>
      <c r="J56" s="670">
        <f t="shared" si="3"/>
        <v>1</v>
      </c>
      <c r="K56" s="369"/>
      <c r="M56" s="369"/>
      <c r="O56"/>
      <c r="P56"/>
      <c r="Q56"/>
      <c r="R56"/>
    </row>
    <row r="57" spans="1:18" s="68" customFormat="1">
      <c r="A57" s="235" t="s">
        <v>95</v>
      </c>
      <c r="B57" s="220" t="s">
        <v>96</v>
      </c>
      <c r="C57" s="246">
        <v>4</v>
      </c>
      <c r="D57" s="246"/>
      <c r="E57" s="246">
        <f t="shared" si="0"/>
        <v>4</v>
      </c>
      <c r="F57" s="666">
        <f t="shared" si="1"/>
        <v>1</v>
      </c>
      <c r="G57" s="246">
        <v>4</v>
      </c>
      <c r="H57" s="246">
        <v>1</v>
      </c>
      <c r="I57" s="246">
        <f t="shared" si="2"/>
        <v>3</v>
      </c>
      <c r="J57" s="670">
        <f t="shared" si="3"/>
        <v>0.75</v>
      </c>
      <c r="K57" s="369"/>
      <c r="L57" s="101"/>
      <c r="M57" s="369"/>
      <c r="O57"/>
      <c r="P57"/>
      <c r="Q57"/>
      <c r="R57"/>
    </row>
    <row r="58" spans="1:18" s="68" customFormat="1">
      <c r="A58" s="235" t="s">
        <v>97</v>
      </c>
      <c r="B58" s="220" t="s">
        <v>98</v>
      </c>
      <c r="C58" s="246">
        <v>37</v>
      </c>
      <c r="D58" s="246">
        <v>1</v>
      </c>
      <c r="E58" s="246">
        <f t="shared" si="0"/>
        <v>36</v>
      </c>
      <c r="F58" s="666">
        <f t="shared" si="1"/>
        <v>0.97297297297297303</v>
      </c>
      <c r="G58" s="246">
        <v>19</v>
      </c>
      <c r="H58" s="246">
        <v>5</v>
      </c>
      <c r="I58" s="246">
        <f t="shared" si="2"/>
        <v>14</v>
      </c>
      <c r="J58" s="670">
        <f t="shared" si="3"/>
        <v>0.73684210526315785</v>
      </c>
      <c r="K58" s="369"/>
      <c r="M58" s="369"/>
      <c r="O58"/>
      <c r="P58"/>
      <c r="Q58"/>
      <c r="R58"/>
    </row>
    <row r="59" spans="1:18" s="68" customFormat="1">
      <c r="A59" s="235" t="s">
        <v>99</v>
      </c>
      <c r="B59" s="220" t="s">
        <v>100</v>
      </c>
      <c r="C59" s="246">
        <v>31</v>
      </c>
      <c r="D59" s="246">
        <v>2</v>
      </c>
      <c r="E59" s="246">
        <f t="shared" si="0"/>
        <v>29</v>
      </c>
      <c r="F59" s="666">
        <f t="shared" si="1"/>
        <v>0.93548387096774188</v>
      </c>
      <c r="G59" s="246">
        <v>18</v>
      </c>
      <c r="H59" s="246">
        <v>4</v>
      </c>
      <c r="I59" s="246">
        <f t="shared" si="2"/>
        <v>14</v>
      </c>
      <c r="J59" s="670">
        <f t="shared" si="3"/>
        <v>0.77777777777777779</v>
      </c>
      <c r="K59" s="369"/>
      <c r="M59" s="369"/>
      <c r="O59"/>
      <c r="P59"/>
      <c r="Q59"/>
      <c r="R59"/>
    </row>
    <row r="60" spans="1:18" s="68" customFormat="1">
      <c r="A60" s="235">
        <v>72</v>
      </c>
      <c r="B60" s="220" t="s">
        <v>117</v>
      </c>
      <c r="C60" s="223">
        <v>1</v>
      </c>
      <c r="D60" s="223"/>
      <c r="E60" s="223">
        <f t="shared" si="0"/>
        <v>1</v>
      </c>
      <c r="F60" s="667">
        <f t="shared" si="1"/>
        <v>1</v>
      </c>
      <c r="G60" s="224"/>
      <c r="H60" s="223"/>
      <c r="I60" s="223">
        <f t="shared" si="2"/>
        <v>0</v>
      </c>
      <c r="J60" s="671"/>
      <c r="K60" s="369"/>
      <c r="M60" s="369"/>
      <c r="O60"/>
      <c r="P60"/>
      <c r="Q60"/>
      <c r="R60"/>
    </row>
    <row r="61" spans="1:18" s="68" customFormat="1">
      <c r="A61" s="235" t="s">
        <v>101</v>
      </c>
      <c r="B61" s="220" t="s">
        <v>102</v>
      </c>
      <c r="C61" s="223">
        <v>1</v>
      </c>
      <c r="D61" s="223"/>
      <c r="E61" s="223">
        <f t="shared" si="0"/>
        <v>1</v>
      </c>
      <c r="F61" s="667">
        <f t="shared" si="1"/>
        <v>1</v>
      </c>
      <c r="G61" s="223"/>
      <c r="H61" s="223"/>
      <c r="I61" s="223">
        <f t="shared" si="2"/>
        <v>0</v>
      </c>
      <c r="J61" s="671"/>
      <c r="K61" s="369"/>
      <c r="M61" s="369"/>
      <c r="O61"/>
      <c r="P61"/>
      <c r="Q61"/>
      <c r="R61"/>
    </row>
    <row r="62" spans="1:18" s="68" customFormat="1">
      <c r="A62" s="235" t="s">
        <v>103</v>
      </c>
      <c r="B62" s="220" t="s">
        <v>104</v>
      </c>
      <c r="C62" s="223">
        <v>29</v>
      </c>
      <c r="D62" s="223"/>
      <c r="E62" s="223">
        <f t="shared" si="0"/>
        <v>29</v>
      </c>
      <c r="F62" s="667">
        <f t="shared" si="1"/>
        <v>1</v>
      </c>
      <c r="G62" s="223">
        <v>10</v>
      </c>
      <c r="H62" s="223">
        <v>1</v>
      </c>
      <c r="I62" s="223">
        <f t="shared" si="2"/>
        <v>9</v>
      </c>
      <c r="J62" s="671">
        <f t="shared" si="3"/>
        <v>0.9</v>
      </c>
      <c r="K62" s="369"/>
      <c r="M62" s="369"/>
      <c r="O62"/>
      <c r="P62"/>
      <c r="Q62"/>
      <c r="R62"/>
    </row>
    <row r="63" spans="1:18" s="68" customFormat="1">
      <c r="A63" s="236">
        <v>76</v>
      </c>
      <c r="B63" s="225" t="s">
        <v>200</v>
      </c>
      <c r="C63" s="223">
        <v>2</v>
      </c>
      <c r="D63" s="223"/>
      <c r="E63" s="223">
        <f t="shared" si="0"/>
        <v>2</v>
      </c>
      <c r="F63" s="667">
        <f t="shared" si="1"/>
        <v>1</v>
      </c>
      <c r="G63" s="223"/>
      <c r="H63" s="223"/>
      <c r="I63" s="223">
        <f t="shared" si="2"/>
        <v>0</v>
      </c>
      <c r="J63" s="671"/>
      <c r="K63" s="369"/>
      <c r="M63" s="369"/>
      <c r="O63"/>
      <c r="P63"/>
      <c r="Q63"/>
      <c r="R63"/>
    </row>
    <row r="64" spans="1:18" s="68" customFormat="1">
      <c r="A64" s="236">
        <v>77</v>
      </c>
      <c r="B64" s="225" t="s">
        <v>201</v>
      </c>
      <c r="C64" s="223"/>
      <c r="D64" s="223"/>
      <c r="E64" s="223">
        <f t="shared" si="0"/>
        <v>0</v>
      </c>
      <c r="F64" s="667" t="s">
        <v>530</v>
      </c>
      <c r="G64" s="223"/>
      <c r="H64" s="223"/>
      <c r="I64" s="223">
        <f t="shared" si="2"/>
        <v>0</v>
      </c>
      <c r="J64" s="671" t="s">
        <v>530</v>
      </c>
      <c r="K64" s="369"/>
      <c r="M64" s="369"/>
      <c r="O64"/>
      <c r="P64"/>
      <c r="Q64"/>
      <c r="R64"/>
    </row>
    <row r="65" spans="1:19" s="68" customFormat="1">
      <c r="A65" s="237" t="s">
        <v>517</v>
      </c>
      <c r="B65" s="229" t="s">
        <v>518</v>
      </c>
      <c r="C65" s="223">
        <v>9</v>
      </c>
      <c r="D65" s="223"/>
      <c r="E65" s="223">
        <f t="shared" si="0"/>
        <v>9</v>
      </c>
      <c r="F65" s="667">
        <f t="shared" si="1"/>
        <v>1</v>
      </c>
      <c r="G65" s="223">
        <v>1</v>
      </c>
      <c r="H65" s="223"/>
      <c r="I65" s="223">
        <f t="shared" si="2"/>
        <v>1</v>
      </c>
      <c r="J65" s="671">
        <f t="shared" si="3"/>
        <v>1</v>
      </c>
      <c r="K65" s="369"/>
      <c r="M65" s="369"/>
      <c r="O65"/>
      <c r="P65"/>
      <c r="Q65"/>
      <c r="R65"/>
    </row>
    <row r="66" spans="1:19" s="68" customFormat="1">
      <c r="A66" s="236" t="s">
        <v>519</v>
      </c>
      <c r="B66" s="225" t="s">
        <v>520</v>
      </c>
      <c r="C66" s="223">
        <v>21</v>
      </c>
      <c r="D66" s="223">
        <v>1</v>
      </c>
      <c r="E66" s="223">
        <f t="shared" si="0"/>
        <v>20</v>
      </c>
      <c r="F66" s="667">
        <f t="shared" si="1"/>
        <v>0.95238095238095233</v>
      </c>
      <c r="G66" s="223">
        <v>9</v>
      </c>
      <c r="H66" s="223"/>
      <c r="I66" s="223">
        <f t="shared" si="2"/>
        <v>9</v>
      </c>
      <c r="J66" s="671">
        <f t="shared" si="3"/>
        <v>1</v>
      </c>
      <c r="K66" s="369"/>
      <c r="M66" s="369"/>
      <c r="O66"/>
      <c r="P66"/>
      <c r="Q66"/>
      <c r="R66"/>
    </row>
    <row r="67" spans="1:19" s="68" customFormat="1" ht="12.75" customHeight="1" thickBot="1">
      <c r="A67" s="197" t="s">
        <v>521</v>
      </c>
      <c r="B67" s="238" t="s">
        <v>522</v>
      </c>
      <c r="C67" s="239">
        <v>9</v>
      </c>
      <c r="D67" s="239">
        <v>1</v>
      </c>
      <c r="E67" s="239">
        <f t="shared" si="0"/>
        <v>8</v>
      </c>
      <c r="F67" s="668">
        <f t="shared" si="1"/>
        <v>0.88888888888888884</v>
      </c>
      <c r="G67" s="239">
        <v>8</v>
      </c>
      <c r="H67" s="239">
        <v>1</v>
      </c>
      <c r="I67" s="239">
        <f t="shared" si="2"/>
        <v>7</v>
      </c>
      <c r="J67" s="672">
        <f t="shared" si="3"/>
        <v>0.875</v>
      </c>
      <c r="K67" s="369"/>
      <c r="M67" s="369"/>
      <c r="O67"/>
      <c r="P67"/>
      <c r="Q67"/>
      <c r="R67"/>
      <c r="S67" s="64"/>
    </row>
    <row r="68" spans="1:19" ht="12.75" customHeight="1" thickBot="1">
      <c r="A68" s="227"/>
      <c r="B68" s="228"/>
      <c r="C68" s="103"/>
      <c r="D68" s="104"/>
      <c r="E68" s="104"/>
      <c r="F68" s="669"/>
      <c r="G68" s="103"/>
      <c r="H68" s="104"/>
      <c r="I68" s="104"/>
      <c r="J68" s="669"/>
      <c r="L68" s="68"/>
      <c r="M68" s="369"/>
      <c r="N68" s="68"/>
      <c r="O68"/>
      <c r="P68"/>
      <c r="Q68"/>
      <c r="R68"/>
    </row>
    <row r="69" spans="1:19" ht="12.75" customHeight="1" thickBot="1">
      <c r="A69" s="442"/>
      <c r="B69" s="443" t="s">
        <v>105</v>
      </c>
      <c r="C69" s="942">
        <f>SUM(C11:C67)</f>
        <v>1169</v>
      </c>
      <c r="D69" s="943">
        <f>SUM(D11:D67)</f>
        <v>40</v>
      </c>
      <c r="E69" s="943">
        <f>SUM(E11:E68)</f>
        <v>1129</v>
      </c>
      <c r="F69" s="944">
        <f>E69/C69</f>
        <v>0.96578272027373824</v>
      </c>
      <c r="G69" s="942">
        <f>SUM(G11:G68)</f>
        <v>554</v>
      </c>
      <c r="H69" s="943">
        <f>SUM(H11:H68)</f>
        <v>49</v>
      </c>
      <c r="I69" s="943">
        <f>SUM(I11:I68)</f>
        <v>505</v>
      </c>
      <c r="J69" s="945">
        <f>I69/G69</f>
        <v>0.91155234657039708</v>
      </c>
      <c r="L69" s="68"/>
      <c r="M69" s="369"/>
      <c r="N69" s="68"/>
      <c r="O69" s="68"/>
      <c r="P69" s="68"/>
      <c r="Q69" s="68"/>
      <c r="R69" s="68"/>
      <c r="S69" s="69"/>
    </row>
    <row r="70" spans="1:19" s="69" customFormat="1" ht="12.75" customHeight="1" thickBot="1">
      <c r="A70" s="469" t="str">
        <f>'fiche technique'!A14</f>
        <v>Source: GALAXIE (ANTEE), DGRH A1-1 &amp; DGRH A2, juin 2014</v>
      </c>
      <c r="B70" s="444"/>
      <c r="C70" s="105"/>
      <c r="D70" s="946">
        <f>D69/$C$69</f>
        <v>3.4217279726261762E-2</v>
      </c>
      <c r="E70" s="947">
        <f>E69/$C$69</f>
        <v>0.96578272027373824</v>
      </c>
      <c r="F70" s="105"/>
      <c r="G70" s="101"/>
      <c r="H70" s="946">
        <f>H69/$G$69</f>
        <v>8.8447653429602882E-2</v>
      </c>
      <c r="I70" s="947">
        <f>I69/$G$69</f>
        <v>0.91155234657039708</v>
      </c>
      <c r="J70" s="101"/>
      <c r="L70" s="68"/>
      <c r="M70" s="369"/>
      <c r="N70" s="68"/>
      <c r="O70" s="64"/>
      <c r="P70" s="64"/>
      <c r="Q70" s="64"/>
      <c r="R70" s="64"/>
    </row>
    <row r="71" spans="1:19" s="69" customFormat="1" ht="12.75" customHeight="1">
      <c r="A71" s="248"/>
      <c r="B71" s="247"/>
      <c r="C71" s="105"/>
      <c r="D71" s="249"/>
      <c r="E71" s="249"/>
      <c r="F71" s="105"/>
      <c r="G71" s="101"/>
      <c r="H71" s="249"/>
      <c r="I71" s="249"/>
      <c r="J71" s="101"/>
      <c r="L71" s="68"/>
      <c r="M71" s="369"/>
      <c r="N71" s="68"/>
      <c r="O71" s="64"/>
      <c r="P71" s="64"/>
      <c r="Q71" s="64"/>
      <c r="R71" s="64"/>
      <c r="S71" s="70"/>
    </row>
    <row r="72" spans="1:19" s="70" customFormat="1" ht="12.75" customHeight="1">
      <c r="A72" s="230" t="s">
        <v>1000</v>
      </c>
      <c r="B72" s="64"/>
      <c r="C72" s="64"/>
      <c r="D72" s="64"/>
      <c r="E72" s="64"/>
      <c r="F72" s="64"/>
      <c r="L72" s="68"/>
      <c r="M72" s="369"/>
      <c r="N72" s="68"/>
      <c r="O72" s="69"/>
      <c r="P72" s="69"/>
      <c r="Q72" s="69"/>
      <c r="R72" s="69"/>
      <c r="S72" s="64"/>
    </row>
    <row r="73" spans="1:19" ht="13.8">
      <c r="A73" s="248"/>
      <c r="M73" s="369"/>
      <c r="N73" s="68"/>
      <c r="O73" s="69"/>
      <c r="P73" s="69"/>
      <c r="Q73" s="69"/>
      <c r="R73" s="69"/>
      <c r="S73" s="69"/>
    </row>
    <row r="74" spans="1:19" s="69" customFormat="1" ht="13.8">
      <c r="A74" s="64"/>
      <c r="B74" s="64"/>
      <c r="C74" s="2106" t="s">
        <v>708</v>
      </c>
      <c r="D74" s="2106"/>
      <c r="E74" s="2106"/>
      <c r="F74" s="64"/>
      <c r="H74" s="2106" t="s">
        <v>699</v>
      </c>
      <c r="I74" s="2106"/>
      <c r="J74" s="2106"/>
      <c r="L74" s="64"/>
      <c r="M74" s="64"/>
      <c r="N74" s="64"/>
      <c r="O74" s="70"/>
      <c r="P74" s="70"/>
      <c r="Q74" s="70"/>
      <c r="R74" s="70"/>
      <c r="S74" s="64"/>
    </row>
    <row r="75" spans="1:19" ht="13.8">
      <c r="B75" s="1195"/>
      <c r="L75" s="69"/>
    </row>
    <row r="76" spans="1:19" ht="32.4">
      <c r="B76" s="74"/>
      <c r="L76" s="69"/>
      <c r="M76" s="69"/>
      <c r="N76" s="69"/>
      <c r="O76" s="69"/>
      <c r="P76" s="69"/>
      <c r="Q76" s="69"/>
      <c r="R76" s="69"/>
    </row>
    <row r="77" spans="1:19" ht="13.8">
      <c r="B77" s="73"/>
      <c r="L77" s="70"/>
      <c r="M77" s="69"/>
      <c r="N77" s="69"/>
    </row>
    <row r="78" spans="1:19">
      <c r="M78" s="70"/>
      <c r="N78" s="70"/>
    </row>
    <row r="79" spans="1:19" ht="13.8">
      <c r="L79" s="69"/>
    </row>
    <row r="80" spans="1:19" ht="13.8">
      <c r="M80" s="69"/>
      <c r="N80" s="69"/>
    </row>
  </sheetData>
  <mergeCells count="8">
    <mergeCell ref="H74:J74"/>
    <mergeCell ref="A2:J2"/>
    <mergeCell ref="A3:J3"/>
    <mergeCell ref="A5:J5"/>
    <mergeCell ref="A6:J6"/>
    <mergeCell ref="C74:E74"/>
    <mergeCell ref="C9:F9"/>
    <mergeCell ref="G9:J9"/>
  </mergeCells>
  <printOptions horizontalCentered="1"/>
  <pageMargins left="0.19685039370078741" right="0.19685039370078741" top="0.39370078740157483" bottom="0.19685039370078741" header="0.31496062992125984" footer="0.31496062992125984"/>
  <pageSetup paperSize="9" scale="68" orientation="portrait" r:id="rId1"/>
  <headerFooter alignWithMargins="0">
    <oddHeader>&amp;LDGRH A1-1</oddHeader>
    <oddFooter>&amp;CPage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Feuil36">
    <tabColor rgb="FFFFFF66"/>
    <pageSetUpPr fitToPage="1"/>
  </sheetPr>
  <dimension ref="A1:K78"/>
  <sheetViews>
    <sheetView showZeros="0" topLeftCell="A40" zoomScale="82" zoomScaleNormal="82" workbookViewId="0">
      <selection activeCell="A72" sqref="A72"/>
    </sheetView>
  </sheetViews>
  <sheetFormatPr baseColWidth="10" defaultColWidth="11.44140625" defaultRowHeight="13.2"/>
  <cols>
    <col min="1" max="1" width="6.88671875" style="64" customWidth="1"/>
    <col min="2" max="2" width="67.6640625" style="64" customWidth="1"/>
    <col min="3" max="5" width="9.109375" style="64" customWidth="1"/>
    <col min="6" max="6" width="9.6640625" style="64" customWidth="1"/>
    <col min="7" max="9" width="9.109375" style="64" customWidth="1"/>
    <col min="10" max="10" width="9.88671875" style="64" customWidth="1"/>
    <col min="11" max="16384" width="11.44140625" style="64"/>
  </cols>
  <sheetData>
    <row r="1" spans="1:10" ht="15" customHeight="1"/>
    <row r="2" spans="1:10" ht="24" customHeight="1">
      <c r="A2" s="2073" t="str">
        <f>'fiche technique'!A6</f>
        <v>Bilan de la campagne 2014 de recrutement et d'affectation des maîtres de conférences et des professeurs des universités (session synchronisée - ANTEE)</v>
      </c>
      <c r="B2" s="2073"/>
      <c r="C2" s="2073"/>
      <c r="D2" s="2073"/>
      <c r="E2" s="2073"/>
      <c r="F2" s="2073"/>
      <c r="G2" s="2073"/>
      <c r="H2" s="2073"/>
      <c r="I2" s="2073"/>
      <c r="J2" s="2073"/>
    </row>
    <row r="3" spans="1:10" ht="15" customHeight="1"/>
    <row r="4" spans="1:10" ht="20.25" customHeight="1">
      <c r="A4" s="2108" t="s">
        <v>115</v>
      </c>
      <c r="B4" s="2108"/>
      <c r="C4" s="2108"/>
      <c r="D4" s="2108"/>
      <c r="E4" s="2108"/>
      <c r="F4" s="2108"/>
      <c r="G4" s="2108"/>
      <c r="H4" s="2108"/>
      <c r="I4" s="2108"/>
      <c r="J4" s="2108"/>
    </row>
    <row r="5" spans="1:10" ht="20.25" customHeight="1">
      <c r="A5" s="2108" t="s">
        <v>259</v>
      </c>
      <c r="B5" s="2108"/>
      <c r="C5" s="2108"/>
      <c r="D5" s="2108"/>
      <c r="E5" s="2108"/>
      <c r="F5" s="2108"/>
      <c r="G5" s="2108"/>
      <c r="H5" s="2108"/>
      <c r="I5" s="2108"/>
      <c r="J5" s="2108"/>
    </row>
    <row r="6" spans="1:10" ht="15" customHeight="1">
      <c r="A6" s="231"/>
      <c r="B6" s="231"/>
      <c r="C6" s="231"/>
      <c r="D6" s="231"/>
      <c r="E6" s="231"/>
      <c r="F6" s="231"/>
      <c r="G6" s="231"/>
      <c r="H6" s="231"/>
      <c r="I6" s="231"/>
      <c r="J6" s="231"/>
    </row>
    <row r="7" spans="1:10" ht="15" customHeight="1" thickBot="1">
      <c r="A7" s="493"/>
      <c r="B7" s="570"/>
      <c r="C7" s="65"/>
      <c r="D7" s="65"/>
      <c r="E7" s="65"/>
      <c r="F7" s="65"/>
    </row>
    <row r="8" spans="1:10" ht="18" customHeight="1" thickBot="1">
      <c r="A8" s="66"/>
      <c r="B8" s="67"/>
      <c r="C8" s="2109" t="s">
        <v>143</v>
      </c>
      <c r="D8" s="2110"/>
      <c r="E8" s="2110"/>
      <c r="F8" s="2111"/>
      <c r="G8" s="2112" t="s">
        <v>260</v>
      </c>
      <c r="H8" s="2110"/>
      <c r="I8" s="2110"/>
      <c r="J8" s="2113"/>
    </row>
    <row r="9" spans="1:10" ht="40.5" customHeight="1">
      <c r="A9" s="1891" t="s">
        <v>8</v>
      </c>
      <c r="B9" s="1904" t="s">
        <v>125</v>
      </c>
      <c r="C9" s="226" t="s">
        <v>727</v>
      </c>
      <c r="D9" s="226" t="s">
        <v>144</v>
      </c>
      <c r="E9" s="226" t="s">
        <v>146</v>
      </c>
      <c r="F9" s="226" t="s">
        <v>151</v>
      </c>
      <c r="G9" s="226" t="s">
        <v>727</v>
      </c>
      <c r="H9" s="226" t="s">
        <v>144</v>
      </c>
      <c r="I9" s="226" t="s">
        <v>146</v>
      </c>
      <c r="J9" s="232" t="s">
        <v>151</v>
      </c>
    </row>
    <row r="10" spans="1:10" s="68" customFormat="1">
      <c r="A10" s="233" t="s">
        <v>9</v>
      </c>
      <c r="B10" s="234" t="s">
        <v>10</v>
      </c>
      <c r="C10" s="221">
        <v>68</v>
      </c>
      <c r="D10" s="221">
        <v>60</v>
      </c>
      <c r="E10" s="221">
        <v>57</v>
      </c>
      <c r="F10" s="960">
        <f t="shared" ref="F10:F66" si="0">E10/D10</f>
        <v>0.95</v>
      </c>
      <c r="G10" s="673">
        <v>0</v>
      </c>
      <c r="H10" s="222"/>
      <c r="I10" s="222">
        <v>0</v>
      </c>
      <c r="J10" s="957"/>
    </row>
    <row r="11" spans="1:10" s="68" customFormat="1">
      <c r="A11" s="235" t="s">
        <v>11</v>
      </c>
      <c r="B11" s="220" t="s">
        <v>12</v>
      </c>
      <c r="C11" s="223">
        <v>53</v>
      </c>
      <c r="D11" s="223">
        <v>32</v>
      </c>
      <c r="E11" s="223">
        <v>32</v>
      </c>
      <c r="F11" s="961">
        <f t="shared" si="0"/>
        <v>1</v>
      </c>
      <c r="G11" s="674">
        <v>0</v>
      </c>
      <c r="H11" s="224"/>
      <c r="I11" s="224">
        <v>0</v>
      </c>
      <c r="J11" s="958"/>
    </row>
    <row r="12" spans="1:10" s="68" customFormat="1">
      <c r="A12" s="235" t="s">
        <v>13</v>
      </c>
      <c r="B12" s="220" t="s">
        <v>14</v>
      </c>
      <c r="C12" s="223">
        <v>13</v>
      </c>
      <c r="D12" s="223">
        <v>4</v>
      </c>
      <c r="E12" s="223">
        <v>4</v>
      </c>
      <c r="F12" s="961">
        <f t="shared" si="0"/>
        <v>1</v>
      </c>
      <c r="G12" s="674">
        <v>0</v>
      </c>
      <c r="H12" s="224"/>
      <c r="I12" s="224">
        <v>0</v>
      </c>
      <c r="J12" s="958"/>
    </row>
    <row r="13" spans="1:10" s="68" customFormat="1">
      <c r="A13" s="235" t="s">
        <v>15</v>
      </c>
      <c r="B13" s="220" t="s">
        <v>16</v>
      </c>
      <c r="C13" s="223">
        <v>102</v>
      </c>
      <c r="D13" s="223">
        <v>17</v>
      </c>
      <c r="E13" s="223">
        <v>17</v>
      </c>
      <c r="F13" s="961">
        <f t="shared" si="0"/>
        <v>1</v>
      </c>
      <c r="G13" s="674">
        <v>1</v>
      </c>
      <c r="H13" s="224"/>
      <c r="I13" s="224">
        <v>0</v>
      </c>
      <c r="J13" s="958"/>
    </row>
    <row r="14" spans="1:10" s="68" customFormat="1">
      <c r="A14" s="235" t="s">
        <v>17</v>
      </c>
      <c r="B14" s="220" t="s">
        <v>18</v>
      </c>
      <c r="C14" s="223">
        <v>185</v>
      </c>
      <c r="D14" s="223">
        <v>39</v>
      </c>
      <c r="E14" s="223">
        <v>38</v>
      </c>
      <c r="F14" s="961">
        <f t="shared" si="0"/>
        <v>0.97435897435897434</v>
      </c>
      <c r="G14" s="674">
        <v>3</v>
      </c>
      <c r="H14" s="224">
        <v>2</v>
      </c>
      <c r="I14" s="224">
        <v>2</v>
      </c>
      <c r="J14" s="958">
        <f t="shared" ref="J14:J66" si="1">I14/H14</f>
        <v>1</v>
      </c>
    </row>
    <row r="15" spans="1:10" s="68" customFormat="1">
      <c r="A15" s="235" t="s">
        <v>19</v>
      </c>
      <c r="B15" s="220" t="s">
        <v>20</v>
      </c>
      <c r="C15" s="223">
        <v>195</v>
      </c>
      <c r="D15" s="223">
        <v>74</v>
      </c>
      <c r="E15" s="223">
        <v>72</v>
      </c>
      <c r="F15" s="961">
        <f t="shared" si="0"/>
        <v>0.97297297297297303</v>
      </c>
      <c r="G15" s="674">
        <v>5</v>
      </c>
      <c r="H15" s="223">
        <v>2</v>
      </c>
      <c r="I15" s="223">
        <v>1</v>
      </c>
      <c r="J15" s="958">
        <f t="shared" si="1"/>
        <v>0.5</v>
      </c>
    </row>
    <row r="16" spans="1:10" s="68" customFormat="1">
      <c r="A16" s="235" t="s">
        <v>21</v>
      </c>
      <c r="B16" s="220" t="s">
        <v>22</v>
      </c>
      <c r="C16" s="223">
        <v>182</v>
      </c>
      <c r="D16" s="223">
        <v>27</v>
      </c>
      <c r="E16" s="223">
        <v>26</v>
      </c>
      <c r="F16" s="961">
        <f t="shared" si="0"/>
        <v>0.96296296296296291</v>
      </c>
      <c r="G16" s="674">
        <v>62</v>
      </c>
      <c r="H16" s="223">
        <v>21</v>
      </c>
      <c r="I16" s="223">
        <v>21</v>
      </c>
      <c r="J16" s="958">
        <f t="shared" si="1"/>
        <v>1</v>
      </c>
    </row>
    <row r="17" spans="1:10" s="68" customFormat="1">
      <c r="A17" s="235" t="s">
        <v>23</v>
      </c>
      <c r="B17" s="220" t="s">
        <v>24</v>
      </c>
      <c r="C17" s="223">
        <v>45</v>
      </c>
      <c r="D17" s="223">
        <v>9</v>
      </c>
      <c r="E17" s="223">
        <v>9</v>
      </c>
      <c r="F17" s="961">
        <f t="shared" si="0"/>
        <v>1</v>
      </c>
      <c r="G17" s="674">
        <v>18</v>
      </c>
      <c r="H17" s="223">
        <v>3</v>
      </c>
      <c r="I17" s="223">
        <v>2</v>
      </c>
      <c r="J17" s="958">
        <f t="shared" si="1"/>
        <v>0.66666666666666663</v>
      </c>
    </row>
    <row r="18" spans="1:10" s="68" customFormat="1">
      <c r="A18" s="235" t="s">
        <v>25</v>
      </c>
      <c r="B18" s="220" t="s">
        <v>26</v>
      </c>
      <c r="C18" s="223">
        <v>146</v>
      </c>
      <c r="D18" s="223">
        <v>13</v>
      </c>
      <c r="E18" s="223">
        <v>11</v>
      </c>
      <c r="F18" s="961">
        <f t="shared" si="0"/>
        <v>0.84615384615384615</v>
      </c>
      <c r="G18" s="674">
        <v>34</v>
      </c>
      <c r="H18" s="223">
        <v>17</v>
      </c>
      <c r="I18" s="223">
        <v>17</v>
      </c>
      <c r="J18" s="958">
        <f t="shared" si="1"/>
        <v>1</v>
      </c>
    </row>
    <row r="19" spans="1:10" s="68" customFormat="1">
      <c r="A19" s="235" t="s">
        <v>27</v>
      </c>
      <c r="B19" s="220" t="s">
        <v>28</v>
      </c>
      <c r="C19" s="223">
        <v>59</v>
      </c>
      <c r="D19" s="223">
        <v>7</v>
      </c>
      <c r="E19" s="223">
        <v>7</v>
      </c>
      <c r="F19" s="961">
        <f t="shared" si="0"/>
        <v>1</v>
      </c>
      <c r="G19" s="674">
        <v>15</v>
      </c>
      <c r="H19" s="223">
        <v>2</v>
      </c>
      <c r="I19" s="223">
        <v>2</v>
      </c>
      <c r="J19" s="958">
        <f t="shared" si="1"/>
        <v>1</v>
      </c>
    </row>
    <row r="20" spans="1:10" s="68" customFormat="1">
      <c r="A20" s="235" t="s">
        <v>29</v>
      </c>
      <c r="B20" s="220" t="s">
        <v>30</v>
      </c>
      <c r="C20" s="223">
        <v>129</v>
      </c>
      <c r="D20" s="223">
        <v>50</v>
      </c>
      <c r="E20" s="223">
        <v>48</v>
      </c>
      <c r="F20" s="961">
        <f t="shared" si="0"/>
        <v>0.96</v>
      </c>
      <c r="G20" s="674">
        <v>29</v>
      </c>
      <c r="H20" s="223">
        <v>24</v>
      </c>
      <c r="I20" s="223">
        <v>19</v>
      </c>
      <c r="J20" s="958">
        <f t="shared" si="1"/>
        <v>0.79166666666666663</v>
      </c>
    </row>
    <row r="21" spans="1:10" s="68" customFormat="1">
      <c r="A21" s="235" t="s">
        <v>31</v>
      </c>
      <c r="B21" s="220" t="s">
        <v>32</v>
      </c>
      <c r="C21" s="223">
        <v>42</v>
      </c>
      <c r="D21" s="223">
        <v>5</v>
      </c>
      <c r="E21" s="223">
        <v>5</v>
      </c>
      <c r="F21" s="961">
        <f t="shared" si="0"/>
        <v>1</v>
      </c>
      <c r="G21" s="674">
        <v>9</v>
      </c>
      <c r="H21" s="223">
        <v>4</v>
      </c>
      <c r="I21" s="223">
        <v>4</v>
      </c>
      <c r="J21" s="958">
        <f t="shared" si="1"/>
        <v>1</v>
      </c>
    </row>
    <row r="22" spans="1:10" s="68" customFormat="1">
      <c r="A22" s="235" t="s">
        <v>33</v>
      </c>
      <c r="B22" s="220" t="s">
        <v>34</v>
      </c>
      <c r="C22" s="223">
        <v>22</v>
      </c>
      <c r="D22" s="223">
        <v>2</v>
      </c>
      <c r="E22" s="223">
        <v>1</v>
      </c>
      <c r="F22" s="961">
        <f t="shared" si="0"/>
        <v>0.5</v>
      </c>
      <c r="G22" s="674">
        <v>2</v>
      </c>
      <c r="H22" s="223"/>
      <c r="I22" s="223">
        <v>0</v>
      </c>
      <c r="J22" s="958"/>
    </row>
    <row r="23" spans="1:10" s="68" customFormat="1" ht="12.75" customHeight="1">
      <c r="A23" s="235" t="s">
        <v>35</v>
      </c>
      <c r="B23" s="220" t="s">
        <v>36</v>
      </c>
      <c r="C23" s="223">
        <v>100</v>
      </c>
      <c r="D23" s="223">
        <v>29</v>
      </c>
      <c r="E23" s="223">
        <v>26</v>
      </c>
      <c r="F23" s="961">
        <f t="shared" si="0"/>
        <v>0.89655172413793105</v>
      </c>
      <c r="G23" s="674">
        <v>20</v>
      </c>
      <c r="H23" s="223">
        <v>18</v>
      </c>
      <c r="I23" s="223">
        <v>16</v>
      </c>
      <c r="J23" s="958">
        <f t="shared" si="1"/>
        <v>0.88888888888888884</v>
      </c>
    </row>
    <row r="24" spans="1:10" s="68" customFormat="1" ht="26.4">
      <c r="A24" s="235" t="s">
        <v>37</v>
      </c>
      <c r="B24" s="220" t="s">
        <v>122</v>
      </c>
      <c r="C24" s="223">
        <v>96</v>
      </c>
      <c r="D24" s="223">
        <v>15</v>
      </c>
      <c r="E24" s="223">
        <v>15</v>
      </c>
      <c r="F24" s="961">
        <f t="shared" si="0"/>
        <v>1</v>
      </c>
      <c r="G24" s="674">
        <v>17</v>
      </c>
      <c r="H24" s="223">
        <v>8</v>
      </c>
      <c r="I24" s="223">
        <v>5</v>
      </c>
      <c r="J24" s="958">
        <f t="shared" si="1"/>
        <v>0.625</v>
      </c>
    </row>
    <row r="25" spans="1:10" s="68" customFormat="1">
      <c r="A25" s="235" t="s">
        <v>38</v>
      </c>
      <c r="B25" s="220" t="s">
        <v>39</v>
      </c>
      <c r="C25" s="223">
        <v>163</v>
      </c>
      <c r="D25" s="223">
        <v>52</v>
      </c>
      <c r="E25" s="223">
        <v>48</v>
      </c>
      <c r="F25" s="961">
        <f t="shared" si="0"/>
        <v>0.92307692307692313</v>
      </c>
      <c r="G25" s="674">
        <v>48</v>
      </c>
      <c r="H25" s="223">
        <v>32</v>
      </c>
      <c r="I25" s="223">
        <v>24</v>
      </c>
      <c r="J25" s="958">
        <f t="shared" si="1"/>
        <v>0.75</v>
      </c>
    </row>
    <row r="26" spans="1:10" s="68" customFormat="1">
      <c r="A26" s="235" t="s">
        <v>40</v>
      </c>
      <c r="B26" s="220" t="s">
        <v>41</v>
      </c>
      <c r="C26" s="223">
        <v>179</v>
      </c>
      <c r="D26" s="223">
        <v>12</v>
      </c>
      <c r="E26" s="223">
        <v>12</v>
      </c>
      <c r="F26" s="961">
        <f t="shared" si="0"/>
        <v>1</v>
      </c>
      <c r="G26" s="674">
        <v>32</v>
      </c>
      <c r="H26" s="223">
        <v>12</v>
      </c>
      <c r="I26" s="223">
        <v>11</v>
      </c>
      <c r="J26" s="958">
        <f t="shared" si="1"/>
        <v>0.91666666666666663</v>
      </c>
    </row>
    <row r="27" spans="1:10" s="68" customFormat="1" ht="39.6">
      <c r="A27" s="235" t="s">
        <v>42</v>
      </c>
      <c r="B27" s="220" t="s">
        <v>230</v>
      </c>
      <c r="C27" s="223">
        <v>226</v>
      </c>
      <c r="D27" s="223">
        <v>32</v>
      </c>
      <c r="E27" s="223">
        <v>30</v>
      </c>
      <c r="F27" s="961">
        <f t="shared" si="0"/>
        <v>0.9375</v>
      </c>
      <c r="G27" s="674">
        <v>25</v>
      </c>
      <c r="H27" s="223">
        <v>17</v>
      </c>
      <c r="I27" s="223">
        <v>15</v>
      </c>
      <c r="J27" s="958">
        <f t="shared" si="1"/>
        <v>0.88235294117647056</v>
      </c>
    </row>
    <row r="28" spans="1:10" s="68" customFormat="1">
      <c r="A28" s="235" t="s">
        <v>43</v>
      </c>
      <c r="B28" s="220" t="s">
        <v>44</v>
      </c>
      <c r="C28" s="223">
        <v>221</v>
      </c>
      <c r="D28" s="223">
        <v>28</v>
      </c>
      <c r="E28" s="223">
        <v>28</v>
      </c>
      <c r="F28" s="961">
        <f t="shared" si="0"/>
        <v>1</v>
      </c>
      <c r="G28" s="674">
        <v>26</v>
      </c>
      <c r="H28" s="223">
        <v>16</v>
      </c>
      <c r="I28" s="223">
        <v>15</v>
      </c>
      <c r="J28" s="958">
        <f t="shared" si="1"/>
        <v>0.9375</v>
      </c>
    </row>
    <row r="29" spans="1:10" s="68" customFormat="1">
      <c r="A29" s="235">
        <v>20</v>
      </c>
      <c r="B29" s="220" t="s">
        <v>320</v>
      </c>
      <c r="C29" s="223">
        <v>133</v>
      </c>
      <c r="D29" s="1964">
        <v>5</v>
      </c>
      <c r="E29" s="223">
        <v>5</v>
      </c>
      <c r="F29" s="961">
        <f t="shared" si="0"/>
        <v>1</v>
      </c>
      <c r="G29" s="674">
        <v>14</v>
      </c>
      <c r="H29" s="223">
        <v>6</v>
      </c>
      <c r="I29" s="223">
        <v>6</v>
      </c>
      <c r="J29" s="958">
        <f t="shared" si="1"/>
        <v>1</v>
      </c>
    </row>
    <row r="30" spans="1:10" s="68" customFormat="1" ht="26.4">
      <c r="A30" s="235" t="s">
        <v>46</v>
      </c>
      <c r="B30" s="220" t="s">
        <v>231</v>
      </c>
      <c r="C30" s="223">
        <v>132</v>
      </c>
      <c r="D30" s="223">
        <v>15</v>
      </c>
      <c r="E30" s="223">
        <v>15</v>
      </c>
      <c r="F30" s="961">
        <f t="shared" si="0"/>
        <v>1</v>
      </c>
      <c r="G30" s="674">
        <v>28</v>
      </c>
      <c r="H30" s="223">
        <v>14</v>
      </c>
      <c r="I30" s="223">
        <v>11</v>
      </c>
      <c r="J30" s="958">
        <f t="shared" si="1"/>
        <v>0.7857142857142857</v>
      </c>
    </row>
    <row r="31" spans="1:10" s="68" customFormat="1" ht="26.4">
      <c r="A31" s="235" t="s">
        <v>47</v>
      </c>
      <c r="B31" s="220" t="s">
        <v>232</v>
      </c>
      <c r="C31" s="223">
        <v>312</v>
      </c>
      <c r="D31" s="223">
        <v>39</v>
      </c>
      <c r="E31" s="223">
        <v>37</v>
      </c>
      <c r="F31" s="961">
        <f t="shared" si="0"/>
        <v>0.94871794871794868</v>
      </c>
      <c r="G31" s="674">
        <v>45</v>
      </c>
      <c r="H31" s="223">
        <v>16</v>
      </c>
      <c r="I31" s="223">
        <v>16</v>
      </c>
      <c r="J31" s="958">
        <f t="shared" si="1"/>
        <v>1</v>
      </c>
    </row>
    <row r="32" spans="1:10" s="68" customFormat="1">
      <c r="A32" s="235" t="s">
        <v>48</v>
      </c>
      <c r="B32" s="220" t="s">
        <v>49</v>
      </c>
      <c r="C32" s="223">
        <v>136</v>
      </c>
      <c r="D32" s="223">
        <v>18</v>
      </c>
      <c r="E32" s="223">
        <v>18</v>
      </c>
      <c r="F32" s="961">
        <f t="shared" si="0"/>
        <v>1</v>
      </c>
      <c r="G32" s="674">
        <v>31</v>
      </c>
      <c r="H32" s="223">
        <v>10</v>
      </c>
      <c r="I32" s="223">
        <v>9</v>
      </c>
      <c r="J32" s="958">
        <f t="shared" si="1"/>
        <v>0.9</v>
      </c>
    </row>
    <row r="33" spans="1:10" s="68" customFormat="1">
      <c r="A33" s="235" t="s">
        <v>50</v>
      </c>
      <c r="B33" s="220" t="s">
        <v>51</v>
      </c>
      <c r="C33" s="223">
        <v>71</v>
      </c>
      <c r="D33" s="223">
        <v>6</v>
      </c>
      <c r="E33" s="223">
        <v>6</v>
      </c>
      <c r="F33" s="961">
        <f t="shared" si="0"/>
        <v>1</v>
      </c>
      <c r="G33" s="674">
        <v>11</v>
      </c>
      <c r="H33" s="223">
        <v>8</v>
      </c>
      <c r="I33" s="223">
        <v>7</v>
      </c>
      <c r="J33" s="958">
        <f t="shared" si="1"/>
        <v>0.875</v>
      </c>
    </row>
    <row r="34" spans="1:10" s="68" customFormat="1">
      <c r="A34" s="235" t="s">
        <v>52</v>
      </c>
      <c r="B34" s="220" t="s">
        <v>53</v>
      </c>
      <c r="C34" s="223">
        <v>238</v>
      </c>
      <c r="D34" s="223">
        <v>16</v>
      </c>
      <c r="E34" s="223">
        <v>16</v>
      </c>
      <c r="F34" s="961">
        <f t="shared" si="0"/>
        <v>1</v>
      </c>
      <c r="G34" s="674">
        <v>100</v>
      </c>
      <c r="H34" s="223">
        <v>11</v>
      </c>
      <c r="I34" s="223">
        <v>11</v>
      </c>
      <c r="J34" s="958">
        <f t="shared" si="1"/>
        <v>1</v>
      </c>
    </row>
    <row r="35" spans="1:10" s="68" customFormat="1" ht="14.25" customHeight="1">
      <c r="A35" s="235" t="s">
        <v>54</v>
      </c>
      <c r="B35" s="220" t="s">
        <v>55</v>
      </c>
      <c r="C35" s="223">
        <v>310</v>
      </c>
      <c r="D35" s="223">
        <v>45</v>
      </c>
      <c r="E35" s="223">
        <v>44</v>
      </c>
      <c r="F35" s="961">
        <f t="shared" si="0"/>
        <v>0.97777777777777775</v>
      </c>
      <c r="G35" s="674">
        <v>110</v>
      </c>
      <c r="H35" s="223">
        <v>24</v>
      </c>
      <c r="I35" s="223">
        <v>24</v>
      </c>
      <c r="J35" s="958">
        <f t="shared" si="1"/>
        <v>1</v>
      </c>
    </row>
    <row r="36" spans="1:10" s="68" customFormat="1">
      <c r="A36" s="235" t="s">
        <v>56</v>
      </c>
      <c r="B36" s="220" t="s">
        <v>57</v>
      </c>
      <c r="C36" s="223">
        <v>435</v>
      </c>
      <c r="D36" s="223">
        <v>84</v>
      </c>
      <c r="E36" s="223">
        <v>80</v>
      </c>
      <c r="F36" s="961">
        <f t="shared" si="0"/>
        <v>0.95238095238095233</v>
      </c>
      <c r="G36" s="674">
        <v>103</v>
      </c>
      <c r="H36" s="223">
        <v>28</v>
      </c>
      <c r="I36" s="223">
        <v>28</v>
      </c>
      <c r="J36" s="958">
        <f t="shared" si="1"/>
        <v>1</v>
      </c>
    </row>
    <row r="37" spans="1:10" s="68" customFormat="1">
      <c r="A37" s="235" t="s">
        <v>58</v>
      </c>
      <c r="B37" s="220" t="s">
        <v>59</v>
      </c>
      <c r="C37" s="223">
        <v>320</v>
      </c>
      <c r="D37" s="223">
        <v>22</v>
      </c>
      <c r="E37" s="223">
        <v>22</v>
      </c>
      <c r="F37" s="961">
        <f t="shared" si="0"/>
        <v>1</v>
      </c>
      <c r="G37" s="674">
        <v>95</v>
      </c>
      <c r="H37" s="223">
        <v>9</v>
      </c>
      <c r="I37" s="223">
        <v>9</v>
      </c>
      <c r="J37" s="958">
        <f t="shared" si="1"/>
        <v>1</v>
      </c>
    </row>
    <row r="38" spans="1:10" s="68" customFormat="1">
      <c r="A38" s="235" t="s">
        <v>60</v>
      </c>
      <c r="B38" s="220" t="s">
        <v>61</v>
      </c>
      <c r="C38" s="223">
        <v>132</v>
      </c>
      <c r="D38" s="223">
        <v>5</v>
      </c>
      <c r="E38" s="223">
        <v>5</v>
      </c>
      <c r="F38" s="961">
        <f t="shared" si="0"/>
        <v>1</v>
      </c>
      <c r="G38" s="674">
        <v>33</v>
      </c>
      <c r="H38" s="223">
        <v>6</v>
      </c>
      <c r="I38" s="223">
        <v>6</v>
      </c>
      <c r="J38" s="958">
        <f t="shared" si="1"/>
        <v>1</v>
      </c>
    </row>
    <row r="39" spans="1:10" s="68" customFormat="1">
      <c r="A39" s="235" t="s">
        <v>62</v>
      </c>
      <c r="B39" s="220" t="s">
        <v>63</v>
      </c>
      <c r="C39" s="223">
        <v>180</v>
      </c>
      <c r="D39" s="223">
        <v>10</v>
      </c>
      <c r="E39" s="223">
        <v>10</v>
      </c>
      <c r="F39" s="961">
        <f t="shared" si="0"/>
        <v>1</v>
      </c>
      <c r="G39" s="674">
        <v>42</v>
      </c>
      <c r="H39" s="223">
        <v>7</v>
      </c>
      <c r="I39" s="223">
        <v>7</v>
      </c>
      <c r="J39" s="958">
        <f t="shared" si="1"/>
        <v>1</v>
      </c>
    </row>
    <row r="40" spans="1:10" s="68" customFormat="1">
      <c r="A40" s="235" t="s">
        <v>64</v>
      </c>
      <c r="B40" s="220" t="s">
        <v>65</v>
      </c>
      <c r="C40" s="223">
        <v>278</v>
      </c>
      <c r="D40" s="223">
        <v>9</v>
      </c>
      <c r="E40" s="223">
        <v>9</v>
      </c>
      <c r="F40" s="961">
        <f t="shared" si="0"/>
        <v>1</v>
      </c>
      <c r="G40" s="674">
        <v>78</v>
      </c>
      <c r="H40" s="223">
        <v>12</v>
      </c>
      <c r="I40" s="223">
        <v>12</v>
      </c>
      <c r="J40" s="958">
        <f t="shared" si="1"/>
        <v>1</v>
      </c>
    </row>
    <row r="41" spans="1:10" s="68" customFormat="1">
      <c r="A41" s="235" t="s">
        <v>66</v>
      </c>
      <c r="B41" s="220" t="s">
        <v>67</v>
      </c>
      <c r="C41" s="223">
        <v>231</v>
      </c>
      <c r="D41" s="223">
        <v>8</v>
      </c>
      <c r="E41" s="223">
        <v>8</v>
      </c>
      <c r="F41" s="961">
        <f t="shared" si="0"/>
        <v>1</v>
      </c>
      <c r="G41" s="674">
        <v>58</v>
      </c>
      <c r="H41" s="223">
        <v>11</v>
      </c>
      <c r="I41" s="223">
        <v>11</v>
      </c>
      <c r="J41" s="958">
        <f t="shared" si="1"/>
        <v>1</v>
      </c>
    </row>
    <row r="42" spans="1:10" s="68" customFormat="1">
      <c r="A42" s="235" t="s">
        <v>68</v>
      </c>
      <c r="B42" s="220" t="s">
        <v>69</v>
      </c>
      <c r="C42" s="223">
        <v>245</v>
      </c>
      <c r="D42" s="223">
        <v>13</v>
      </c>
      <c r="E42" s="223">
        <v>13</v>
      </c>
      <c r="F42" s="961">
        <f t="shared" si="0"/>
        <v>1</v>
      </c>
      <c r="G42" s="674">
        <v>41</v>
      </c>
      <c r="H42" s="223">
        <v>9</v>
      </c>
      <c r="I42" s="223">
        <v>9</v>
      </c>
      <c r="J42" s="958">
        <f t="shared" si="1"/>
        <v>1</v>
      </c>
    </row>
    <row r="43" spans="1:10" s="68" customFormat="1">
      <c r="A43" s="235" t="s">
        <v>70</v>
      </c>
      <c r="B43" s="220" t="s">
        <v>71</v>
      </c>
      <c r="C43" s="223">
        <v>72</v>
      </c>
      <c r="D43" s="223">
        <v>2</v>
      </c>
      <c r="E43" s="223">
        <v>2</v>
      </c>
      <c r="F43" s="961">
        <f t="shared" si="0"/>
        <v>1</v>
      </c>
      <c r="G43" s="674">
        <v>16</v>
      </c>
      <c r="H43" s="223">
        <v>5</v>
      </c>
      <c r="I43" s="223">
        <v>5</v>
      </c>
      <c r="J43" s="958">
        <f t="shared" si="1"/>
        <v>1</v>
      </c>
    </row>
    <row r="44" spans="1:10" s="68" customFormat="1">
      <c r="A44" s="235" t="s">
        <v>72</v>
      </c>
      <c r="B44" s="220" t="s">
        <v>73</v>
      </c>
      <c r="C44" s="223">
        <v>133</v>
      </c>
      <c r="D44" s="223">
        <v>10</v>
      </c>
      <c r="E44" s="223">
        <v>10</v>
      </c>
      <c r="F44" s="961">
        <f t="shared" si="0"/>
        <v>1</v>
      </c>
      <c r="G44" s="674">
        <v>40</v>
      </c>
      <c r="H44" s="223">
        <v>5</v>
      </c>
      <c r="I44" s="223">
        <v>5</v>
      </c>
      <c r="J44" s="958">
        <f t="shared" si="1"/>
        <v>1</v>
      </c>
    </row>
    <row r="45" spans="1:10" s="68" customFormat="1">
      <c r="A45" s="235" t="s">
        <v>74</v>
      </c>
      <c r="B45" s="220" t="s">
        <v>75</v>
      </c>
      <c r="C45" s="223">
        <v>181</v>
      </c>
      <c r="D45" s="223">
        <v>8</v>
      </c>
      <c r="E45" s="223">
        <v>8</v>
      </c>
      <c r="F45" s="961">
        <f t="shared" si="0"/>
        <v>1</v>
      </c>
      <c r="G45" s="674">
        <v>42</v>
      </c>
      <c r="H45" s="223">
        <v>5</v>
      </c>
      <c r="I45" s="223">
        <v>4</v>
      </c>
      <c r="J45" s="958">
        <f t="shared" si="1"/>
        <v>0.8</v>
      </c>
    </row>
    <row r="46" spans="1:10" s="68" customFormat="1">
      <c r="A46" s="235" t="s">
        <v>76</v>
      </c>
      <c r="B46" s="220" t="s">
        <v>77</v>
      </c>
      <c r="C46" s="223">
        <v>85</v>
      </c>
      <c r="D46" s="223">
        <v>2</v>
      </c>
      <c r="E46" s="223">
        <v>1</v>
      </c>
      <c r="F46" s="961">
        <f t="shared" si="0"/>
        <v>0.5</v>
      </c>
      <c r="G46" s="674">
        <v>18</v>
      </c>
      <c r="H46" s="223">
        <v>2</v>
      </c>
      <c r="I46" s="223">
        <v>2</v>
      </c>
      <c r="J46" s="958">
        <f t="shared" si="1"/>
        <v>1</v>
      </c>
    </row>
    <row r="47" spans="1:10" s="68" customFormat="1">
      <c r="A47" s="235" t="s">
        <v>78</v>
      </c>
      <c r="B47" s="220" t="s">
        <v>79</v>
      </c>
      <c r="C47" s="223">
        <v>272</v>
      </c>
      <c r="D47" s="223">
        <v>57</v>
      </c>
      <c r="E47" s="223">
        <v>53</v>
      </c>
      <c r="F47" s="961">
        <f t="shared" si="0"/>
        <v>0.92982456140350878</v>
      </c>
      <c r="G47" s="674">
        <v>108</v>
      </c>
      <c r="H47" s="223">
        <v>34</v>
      </c>
      <c r="I47" s="223">
        <v>30</v>
      </c>
      <c r="J47" s="958">
        <f t="shared" si="1"/>
        <v>0.88235294117647056</v>
      </c>
    </row>
    <row r="48" spans="1:10" s="68" customFormat="1">
      <c r="A48" s="235" t="s">
        <v>80</v>
      </c>
      <c r="B48" s="220" t="s">
        <v>81</v>
      </c>
      <c r="C48" s="223">
        <v>227</v>
      </c>
      <c r="D48" s="223">
        <v>29</v>
      </c>
      <c r="E48" s="223">
        <v>29</v>
      </c>
      <c r="F48" s="961">
        <f t="shared" si="0"/>
        <v>1</v>
      </c>
      <c r="G48" s="674">
        <v>61</v>
      </c>
      <c r="H48" s="223">
        <v>16</v>
      </c>
      <c r="I48" s="223">
        <v>16</v>
      </c>
      <c r="J48" s="958">
        <f t="shared" si="1"/>
        <v>1</v>
      </c>
    </row>
    <row r="49" spans="1:10" s="68" customFormat="1">
      <c r="A49" s="235" t="s">
        <v>82</v>
      </c>
      <c r="B49" s="220" t="s">
        <v>83</v>
      </c>
      <c r="C49" s="223">
        <v>155</v>
      </c>
      <c r="D49" s="223">
        <v>21</v>
      </c>
      <c r="E49" s="223">
        <v>20</v>
      </c>
      <c r="F49" s="961">
        <f t="shared" si="0"/>
        <v>0.95238095238095233</v>
      </c>
      <c r="G49" s="674">
        <v>48</v>
      </c>
      <c r="H49" s="223">
        <v>15</v>
      </c>
      <c r="I49" s="223">
        <v>15</v>
      </c>
      <c r="J49" s="958">
        <f t="shared" si="1"/>
        <v>1</v>
      </c>
    </row>
    <row r="50" spans="1:10" s="68" customFormat="1">
      <c r="A50" s="235" t="s">
        <v>84</v>
      </c>
      <c r="B50" s="675" t="s">
        <v>355</v>
      </c>
      <c r="C50" s="223">
        <v>156</v>
      </c>
      <c r="D50" s="223">
        <v>18</v>
      </c>
      <c r="E50" s="223">
        <v>18</v>
      </c>
      <c r="F50" s="961">
        <f t="shared" si="0"/>
        <v>1</v>
      </c>
      <c r="G50" s="674">
        <v>56</v>
      </c>
      <c r="H50" s="223">
        <v>14</v>
      </c>
      <c r="I50" s="223">
        <v>14</v>
      </c>
      <c r="J50" s="958">
        <f t="shared" si="1"/>
        <v>1</v>
      </c>
    </row>
    <row r="51" spans="1:10" s="68" customFormat="1">
      <c r="A51" s="235" t="s">
        <v>85</v>
      </c>
      <c r="B51" s="220" t="s">
        <v>86</v>
      </c>
      <c r="C51" s="223">
        <v>443</v>
      </c>
      <c r="D51" s="223">
        <v>20</v>
      </c>
      <c r="E51" s="223">
        <v>19</v>
      </c>
      <c r="F51" s="961">
        <f t="shared" si="0"/>
        <v>0.95</v>
      </c>
      <c r="G51" s="674">
        <v>70</v>
      </c>
      <c r="H51" s="223">
        <v>18</v>
      </c>
      <c r="I51" s="223">
        <v>17</v>
      </c>
      <c r="J51" s="958">
        <f t="shared" si="1"/>
        <v>0.94444444444444442</v>
      </c>
    </row>
    <row r="52" spans="1:10" s="68" customFormat="1">
      <c r="A52" s="235" t="s">
        <v>87</v>
      </c>
      <c r="B52" s="220" t="s">
        <v>88</v>
      </c>
      <c r="C52" s="223">
        <v>492</v>
      </c>
      <c r="D52" s="223">
        <v>16</v>
      </c>
      <c r="E52" s="223">
        <v>16</v>
      </c>
      <c r="F52" s="961">
        <f t="shared" si="0"/>
        <v>1</v>
      </c>
      <c r="G52" s="674">
        <v>90</v>
      </c>
      <c r="H52" s="223">
        <v>8</v>
      </c>
      <c r="I52" s="223">
        <v>7</v>
      </c>
      <c r="J52" s="958">
        <f t="shared" si="1"/>
        <v>0.875</v>
      </c>
    </row>
    <row r="53" spans="1:10" s="68" customFormat="1">
      <c r="A53" s="235" t="s">
        <v>89</v>
      </c>
      <c r="B53" s="220" t="s">
        <v>90</v>
      </c>
      <c r="C53" s="223">
        <v>206</v>
      </c>
      <c r="D53" s="223">
        <v>16</v>
      </c>
      <c r="E53" s="223">
        <v>16</v>
      </c>
      <c r="F53" s="961">
        <f t="shared" si="0"/>
        <v>1</v>
      </c>
      <c r="G53" s="674">
        <v>44</v>
      </c>
      <c r="H53" s="223">
        <v>5</v>
      </c>
      <c r="I53" s="223">
        <v>5</v>
      </c>
      <c r="J53" s="958">
        <f t="shared" si="1"/>
        <v>1</v>
      </c>
    </row>
    <row r="54" spans="1:10" s="68" customFormat="1">
      <c r="A54" s="235" t="s">
        <v>91</v>
      </c>
      <c r="B54" s="220" t="s">
        <v>92</v>
      </c>
      <c r="C54" s="223">
        <v>212</v>
      </c>
      <c r="D54" s="223">
        <v>17</v>
      </c>
      <c r="E54" s="223">
        <v>17</v>
      </c>
      <c r="F54" s="961">
        <f t="shared" si="0"/>
        <v>1</v>
      </c>
      <c r="G54" s="674">
        <v>38</v>
      </c>
      <c r="H54" s="223">
        <v>7</v>
      </c>
      <c r="I54" s="223">
        <v>6</v>
      </c>
      <c r="J54" s="958">
        <f t="shared" si="1"/>
        <v>0.8571428571428571</v>
      </c>
    </row>
    <row r="55" spans="1:10" s="68" customFormat="1">
      <c r="A55" s="235" t="s">
        <v>93</v>
      </c>
      <c r="B55" s="220" t="s">
        <v>94</v>
      </c>
      <c r="C55" s="223">
        <v>255</v>
      </c>
      <c r="D55" s="223">
        <v>7</v>
      </c>
      <c r="E55" s="223">
        <v>7</v>
      </c>
      <c r="F55" s="961">
        <f t="shared" si="0"/>
        <v>1</v>
      </c>
      <c r="G55" s="674">
        <v>44</v>
      </c>
      <c r="H55" s="223">
        <v>2</v>
      </c>
      <c r="I55" s="223">
        <v>2</v>
      </c>
      <c r="J55" s="958">
        <f t="shared" si="1"/>
        <v>1</v>
      </c>
    </row>
    <row r="56" spans="1:10" s="68" customFormat="1">
      <c r="A56" s="235" t="s">
        <v>95</v>
      </c>
      <c r="B56" s="220" t="s">
        <v>96</v>
      </c>
      <c r="C56" s="223">
        <v>193</v>
      </c>
      <c r="D56" s="223">
        <v>4</v>
      </c>
      <c r="E56" s="223">
        <v>4</v>
      </c>
      <c r="F56" s="961">
        <f t="shared" si="0"/>
        <v>1</v>
      </c>
      <c r="G56" s="674">
        <v>31</v>
      </c>
      <c r="H56" s="223">
        <v>4</v>
      </c>
      <c r="I56" s="223">
        <v>3</v>
      </c>
      <c r="J56" s="958">
        <f t="shared" si="1"/>
        <v>0.75</v>
      </c>
    </row>
    <row r="57" spans="1:10" s="68" customFormat="1">
      <c r="A57" s="235" t="s">
        <v>97</v>
      </c>
      <c r="B57" s="220" t="s">
        <v>98</v>
      </c>
      <c r="C57" s="223">
        <v>125</v>
      </c>
      <c r="D57" s="223">
        <v>37</v>
      </c>
      <c r="E57" s="223">
        <v>36</v>
      </c>
      <c r="F57" s="961">
        <f t="shared" si="0"/>
        <v>0.97297297297297303</v>
      </c>
      <c r="G57" s="674">
        <v>22</v>
      </c>
      <c r="H57" s="223">
        <v>19</v>
      </c>
      <c r="I57" s="223">
        <v>14</v>
      </c>
      <c r="J57" s="958">
        <f t="shared" si="1"/>
        <v>0.73684210526315785</v>
      </c>
    </row>
    <row r="58" spans="1:10" s="68" customFormat="1">
      <c r="A58" s="235" t="s">
        <v>99</v>
      </c>
      <c r="B58" s="220" t="s">
        <v>100</v>
      </c>
      <c r="C58" s="223">
        <v>69</v>
      </c>
      <c r="D58" s="223">
        <v>31</v>
      </c>
      <c r="E58" s="223">
        <v>29</v>
      </c>
      <c r="F58" s="961">
        <f t="shared" si="0"/>
        <v>0.93548387096774188</v>
      </c>
      <c r="G58" s="674">
        <v>17</v>
      </c>
      <c r="H58" s="223">
        <v>18</v>
      </c>
      <c r="I58" s="223">
        <v>14</v>
      </c>
      <c r="J58" s="958">
        <f t="shared" si="1"/>
        <v>0.77777777777777779</v>
      </c>
    </row>
    <row r="59" spans="1:10" s="68" customFormat="1">
      <c r="A59" s="1276" t="s">
        <v>142</v>
      </c>
      <c r="B59" s="220" t="s">
        <v>117</v>
      </c>
      <c r="C59" s="223">
        <v>75</v>
      </c>
      <c r="D59" s="223">
        <v>1</v>
      </c>
      <c r="E59" s="223">
        <v>1</v>
      </c>
      <c r="F59" s="961">
        <f t="shared" si="0"/>
        <v>1</v>
      </c>
      <c r="G59" s="674">
        <v>15</v>
      </c>
      <c r="H59" s="223"/>
      <c r="I59" s="223">
        <v>0</v>
      </c>
      <c r="J59" s="958"/>
    </row>
    <row r="60" spans="1:10" s="68" customFormat="1">
      <c r="A60" s="235" t="s">
        <v>101</v>
      </c>
      <c r="B60" s="220" t="s">
        <v>102</v>
      </c>
      <c r="C60" s="223">
        <v>17</v>
      </c>
      <c r="D60" s="223">
        <v>1</v>
      </c>
      <c r="E60" s="223">
        <v>1</v>
      </c>
      <c r="F60" s="961"/>
      <c r="G60" s="674">
        <v>6</v>
      </c>
      <c r="H60" s="223"/>
      <c r="I60" s="223">
        <v>0</v>
      </c>
      <c r="J60" s="958"/>
    </row>
    <row r="61" spans="1:10" s="68" customFormat="1">
      <c r="A61" s="235" t="s">
        <v>103</v>
      </c>
      <c r="B61" s="220" t="s">
        <v>104</v>
      </c>
      <c r="C61" s="223">
        <v>81</v>
      </c>
      <c r="D61" s="223">
        <v>29</v>
      </c>
      <c r="E61" s="223">
        <v>29</v>
      </c>
      <c r="F61" s="961">
        <f t="shared" si="0"/>
        <v>1</v>
      </c>
      <c r="G61" s="674">
        <v>15</v>
      </c>
      <c r="H61" s="223">
        <v>10</v>
      </c>
      <c r="I61" s="223">
        <v>9</v>
      </c>
      <c r="J61" s="958">
        <f t="shared" si="1"/>
        <v>0.9</v>
      </c>
    </row>
    <row r="62" spans="1:10" s="68" customFormat="1">
      <c r="A62" s="1276" t="s">
        <v>578</v>
      </c>
      <c r="B62" s="220" t="s">
        <v>200</v>
      </c>
      <c r="C62" s="223">
        <v>5</v>
      </c>
      <c r="D62" s="223">
        <v>2</v>
      </c>
      <c r="E62" s="223">
        <v>2</v>
      </c>
      <c r="F62" s="961">
        <f t="shared" si="0"/>
        <v>1</v>
      </c>
      <c r="G62" s="674">
        <v>3</v>
      </c>
      <c r="H62" s="223"/>
      <c r="I62" s="223">
        <v>0</v>
      </c>
      <c r="J62" s="958"/>
    </row>
    <row r="63" spans="1:10" s="68" customFormat="1">
      <c r="A63" s="1275" t="s">
        <v>202</v>
      </c>
      <c r="B63" s="225" t="s">
        <v>201</v>
      </c>
      <c r="C63" s="223">
        <v>4</v>
      </c>
      <c r="D63" s="223"/>
      <c r="E63" s="223">
        <v>0</v>
      </c>
      <c r="F63" s="961" t="s">
        <v>530</v>
      </c>
      <c r="G63" s="674">
        <v>1</v>
      </c>
      <c r="H63" s="223"/>
      <c r="I63" s="223">
        <v>0</v>
      </c>
      <c r="J63" s="958"/>
    </row>
    <row r="64" spans="1:10" s="68" customFormat="1">
      <c r="A64" s="237" t="s">
        <v>517</v>
      </c>
      <c r="B64" s="229" t="s">
        <v>518</v>
      </c>
      <c r="C64" s="223">
        <v>78</v>
      </c>
      <c r="D64" s="223">
        <v>9</v>
      </c>
      <c r="E64" s="223">
        <v>9</v>
      </c>
      <c r="F64" s="961">
        <f t="shared" si="0"/>
        <v>1</v>
      </c>
      <c r="G64" s="674">
        <v>6</v>
      </c>
      <c r="H64" s="223">
        <v>1</v>
      </c>
      <c r="I64" s="223">
        <v>1</v>
      </c>
      <c r="J64" s="958">
        <f t="shared" si="1"/>
        <v>1</v>
      </c>
    </row>
    <row r="65" spans="1:11" s="68" customFormat="1">
      <c r="A65" s="237" t="s">
        <v>519</v>
      </c>
      <c r="B65" s="229" t="s">
        <v>520</v>
      </c>
      <c r="C65" s="223">
        <v>104</v>
      </c>
      <c r="D65" s="223">
        <v>21</v>
      </c>
      <c r="E65" s="223">
        <v>20</v>
      </c>
      <c r="F65" s="961">
        <f t="shared" si="0"/>
        <v>0.95238095238095233</v>
      </c>
      <c r="G65" s="674">
        <v>4</v>
      </c>
      <c r="H65" s="223">
        <v>9</v>
      </c>
      <c r="I65" s="223">
        <v>9</v>
      </c>
      <c r="J65" s="958">
        <f t="shared" si="1"/>
        <v>1</v>
      </c>
    </row>
    <row r="66" spans="1:11" s="68" customFormat="1" ht="13.8" thickBot="1">
      <c r="A66" s="197" t="s">
        <v>521</v>
      </c>
      <c r="B66" s="238" t="s">
        <v>522</v>
      </c>
      <c r="C66" s="239">
        <v>138</v>
      </c>
      <c r="D66" s="239">
        <v>9</v>
      </c>
      <c r="E66" s="239">
        <v>8</v>
      </c>
      <c r="F66" s="962">
        <f t="shared" si="0"/>
        <v>0.88888888888888884</v>
      </c>
      <c r="G66" s="676">
        <v>8</v>
      </c>
      <c r="H66" s="239">
        <v>8</v>
      </c>
      <c r="I66" s="239">
        <v>7</v>
      </c>
      <c r="J66" s="959">
        <f t="shared" si="1"/>
        <v>0.875</v>
      </c>
    </row>
    <row r="67" spans="1:11" ht="12.75" customHeight="1" thickBot="1">
      <c r="A67" s="227"/>
      <c r="B67" s="228"/>
      <c r="C67" s="106"/>
      <c r="D67" s="107"/>
      <c r="E67" s="106"/>
      <c r="F67" s="678"/>
      <c r="G67" s="106"/>
      <c r="H67" s="107"/>
      <c r="I67" s="106"/>
      <c r="J67" s="678"/>
    </row>
    <row r="68" spans="1:11" s="68" customFormat="1" ht="12.75" customHeight="1" thickBot="1">
      <c r="A68" s="448"/>
      <c r="B68" s="443" t="s">
        <v>105</v>
      </c>
      <c r="C68" s="942">
        <f>SUM(C10:C67)</f>
        <v>9157</v>
      </c>
      <c r="D68" s="942">
        <f>SUM(D10:D67)</f>
        <v>1169</v>
      </c>
      <c r="E68" s="942">
        <f>SUM(E10:E67)</f>
        <v>1129</v>
      </c>
      <c r="F68" s="944">
        <f>E68/D68</f>
        <v>0.96578272027373824</v>
      </c>
      <c r="G68" s="942">
        <f>SUM(G10:G66)</f>
        <v>1938</v>
      </c>
      <c r="H68" s="942">
        <f>SUM(H10:H66)</f>
        <v>554</v>
      </c>
      <c r="I68" s="942">
        <f>SUM(I10:I67)</f>
        <v>505</v>
      </c>
      <c r="J68" s="945">
        <f>I68/H68</f>
        <v>0.91155234657039708</v>
      </c>
    </row>
    <row r="69" spans="1:11" ht="12.75" customHeight="1">
      <c r="A69" s="552" t="str">
        <f>'fiche technique'!A14</f>
        <v>Source: GALAXIE (ANTEE), DGRH A1-1 &amp; DGRH A2, juin 2014</v>
      </c>
      <c r="B69" s="68"/>
      <c r="C69" s="68"/>
      <c r="D69" s="68"/>
      <c r="E69" s="68"/>
      <c r="F69" s="68"/>
      <c r="G69" s="68"/>
      <c r="H69" s="68"/>
      <c r="I69" s="68"/>
      <c r="J69" s="68"/>
    </row>
    <row r="70" spans="1:11" s="677" customFormat="1">
      <c r="A70" s="445" t="s">
        <v>1001</v>
      </c>
      <c r="B70" s="445"/>
      <c r="C70" s="445"/>
      <c r="D70" s="445"/>
      <c r="E70" s="445"/>
      <c r="F70" s="445"/>
      <c r="G70" s="446"/>
      <c r="H70" s="446"/>
      <c r="I70" s="447"/>
      <c r="J70" s="447"/>
      <c r="K70" s="72"/>
    </row>
    <row r="71" spans="1:11" ht="27.75" customHeight="1">
      <c r="A71" s="2114" t="s">
        <v>1033</v>
      </c>
      <c r="B71" s="2114"/>
      <c r="C71" s="2114"/>
      <c r="D71" s="2114"/>
      <c r="E71" s="2114"/>
      <c r="F71" s="2114"/>
      <c r="G71" s="2114"/>
      <c r="H71" s="2114"/>
      <c r="I71" s="2114"/>
      <c r="J71" s="2114"/>
      <c r="K71" s="71"/>
    </row>
    <row r="72" spans="1:11" ht="27.75" customHeight="1">
      <c r="A72" s="1767"/>
      <c r="B72" s="1767"/>
      <c r="C72" s="1767"/>
      <c r="D72" s="1767"/>
      <c r="E72" s="1767"/>
      <c r="F72" s="1767"/>
      <c r="G72" s="1767"/>
      <c r="H72" s="1767"/>
      <c r="I72" s="1767"/>
      <c r="J72" s="1767"/>
      <c r="K72" s="71"/>
    </row>
    <row r="74" spans="1:11" ht="13.8">
      <c r="B74" s="1195"/>
      <c r="C74" s="2106" t="s">
        <v>708</v>
      </c>
      <c r="D74" s="2106"/>
      <c r="E74" s="2106"/>
      <c r="H74" s="2106" t="s">
        <v>699</v>
      </c>
      <c r="I74" s="2106"/>
      <c r="J74" s="2106"/>
    </row>
    <row r="78" spans="1:11" ht="32.4">
      <c r="B78" s="74"/>
    </row>
  </sheetData>
  <mergeCells count="8">
    <mergeCell ref="H74:J74"/>
    <mergeCell ref="A2:J2"/>
    <mergeCell ref="A4:J4"/>
    <mergeCell ref="A5:J5"/>
    <mergeCell ref="C74:E74"/>
    <mergeCell ref="A71:J71"/>
    <mergeCell ref="C8:F8"/>
    <mergeCell ref="G8:J8"/>
  </mergeCells>
  <printOptions horizontalCentered="1"/>
  <pageMargins left="0.19685039370078741" right="0.19685039370078741" top="0.39370078740157483" bottom="0.19685039370078741" header="0.31496062992125984" footer="0.31496062992125984"/>
  <pageSetup paperSize="9" scale="68" orientation="portrait" r:id="rId1"/>
  <headerFooter alignWithMargins="0">
    <oddHeader>&amp;LDGRH A1-1</oddHeader>
    <oddFooter>&amp;CPage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Feuil37">
    <tabColor rgb="FFFFFF00"/>
  </sheetPr>
  <dimension ref="A1:O72"/>
  <sheetViews>
    <sheetView showZeros="0" topLeftCell="A47" workbookViewId="0">
      <selection activeCell="L18" sqref="L18"/>
    </sheetView>
  </sheetViews>
  <sheetFormatPr baseColWidth="10" defaultColWidth="11.44140625" defaultRowHeight="13.2"/>
  <cols>
    <col min="1" max="1" width="8.44140625" style="525" customWidth="1"/>
    <col min="2" max="2" width="67.6640625" style="525" customWidth="1"/>
    <col min="3" max="8" width="9" style="525" customWidth="1"/>
    <col min="9" max="16384" width="11.44140625" style="525"/>
  </cols>
  <sheetData>
    <row r="1" spans="1:8" ht="15" customHeight="1"/>
    <row r="2" spans="1:8" ht="24" customHeight="1">
      <c r="A2" s="2073" t="str">
        <f>'fiche technique'!A6</f>
        <v>Bilan de la campagne 2014 de recrutement et d'affectation des maîtres de conférences et des professeurs des universités (session synchronisée - ANTEE)</v>
      </c>
      <c r="B2" s="2073"/>
      <c r="C2" s="2073"/>
      <c r="D2" s="2073"/>
      <c r="E2" s="2073"/>
      <c r="F2" s="2073"/>
      <c r="G2" s="2073"/>
      <c r="H2" s="2073"/>
    </row>
    <row r="3" spans="1:8" ht="15" customHeight="1"/>
    <row r="4" spans="1:8" ht="20.25" customHeight="1">
      <c r="A4" s="2104" t="s">
        <v>245</v>
      </c>
      <c r="B4" s="2104"/>
      <c r="C4" s="2104"/>
      <c r="D4" s="2104"/>
      <c r="E4" s="2104"/>
      <c r="F4" s="2104"/>
      <c r="G4" s="2104"/>
      <c r="H4" s="2104"/>
    </row>
    <row r="5" spans="1:8" s="679" customFormat="1" ht="20.25" customHeight="1">
      <c r="A5" s="2104" t="s">
        <v>1002</v>
      </c>
      <c r="B5" s="2104"/>
      <c r="C5" s="2104"/>
      <c r="D5" s="2104"/>
      <c r="E5" s="2104"/>
      <c r="F5" s="2104"/>
      <c r="G5" s="2104"/>
      <c r="H5" s="2104"/>
    </row>
    <row r="6" spans="1:8" ht="15" customHeight="1" thickBot="1"/>
    <row r="7" spans="1:8" ht="15" customHeight="1" thickBot="1">
      <c r="C7" s="2116" t="s">
        <v>143</v>
      </c>
      <c r="D7" s="2117"/>
      <c r="E7" s="2118"/>
      <c r="F7" s="2119" t="s">
        <v>124</v>
      </c>
      <c r="G7" s="2120"/>
      <c r="H7" s="2121"/>
    </row>
    <row r="8" spans="1:8" ht="26.4">
      <c r="A8" s="1891" t="s">
        <v>8</v>
      </c>
      <c r="B8" s="1904" t="s">
        <v>125</v>
      </c>
      <c r="C8" s="226" t="s">
        <v>727</v>
      </c>
      <c r="D8" s="226" t="s">
        <v>144</v>
      </c>
      <c r="E8" s="226" t="s">
        <v>297</v>
      </c>
      <c r="F8" s="226" t="s">
        <v>727</v>
      </c>
      <c r="G8" s="226" t="s">
        <v>144</v>
      </c>
      <c r="H8" s="232" t="s">
        <v>297</v>
      </c>
    </row>
    <row r="9" spans="1:8">
      <c r="A9" s="233" t="s">
        <v>9</v>
      </c>
      <c r="B9" s="234" t="s">
        <v>10</v>
      </c>
      <c r="C9" s="221">
        <v>68</v>
      </c>
      <c r="D9" s="221">
        <v>60</v>
      </c>
      <c r="E9" s="963">
        <f t="shared" ref="E9:E65" si="0">C9/D9</f>
        <v>1.1333333333333333</v>
      </c>
      <c r="F9" s="680">
        <v>0</v>
      </c>
      <c r="G9" s="261"/>
      <c r="H9" s="966"/>
    </row>
    <row r="10" spans="1:8">
      <c r="A10" s="235" t="s">
        <v>11</v>
      </c>
      <c r="B10" s="220" t="s">
        <v>12</v>
      </c>
      <c r="C10" s="223">
        <v>53</v>
      </c>
      <c r="D10" s="223">
        <v>32</v>
      </c>
      <c r="E10" s="964">
        <f t="shared" si="0"/>
        <v>1.65625</v>
      </c>
      <c r="F10" s="674">
        <v>0</v>
      </c>
      <c r="G10" s="224"/>
      <c r="H10" s="967"/>
    </row>
    <row r="11" spans="1:8">
      <c r="A11" s="235" t="s">
        <v>13</v>
      </c>
      <c r="B11" s="220" t="s">
        <v>14</v>
      </c>
      <c r="C11" s="223">
        <v>13</v>
      </c>
      <c r="D11" s="223">
        <v>4</v>
      </c>
      <c r="E11" s="964">
        <f t="shared" si="0"/>
        <v>3.25</v>
      </c>
      <c r="F11" s="674">
        <v>0</v>
      </c>
      <c r="G11" s="224"/>
      <c r="H11" s="967"/>
    </row>
    <row r="12" spans="1:8">
      <c r="A12" s="235" t="s">
        <v>15</v>
      </c>
      <c r="B12" s="220" t="s">
        <v>16</v>
      </c>
      <c r="C12" s="223">
        <v>102</v>
      </c>
      <c r="D12" s="223">
        <v>17</v>
      </c>
      <c r="E12" s="964">
        <f t="shared" si="0"/>
        <v>6</v>
      </c>
      <c r="F12" s="674">
        <v>1</v>
      </c>
      <c r="G12" s="224"/>
      <c r="H12" s="967"/>
    </row>
    <row r="13" spans="1:8">
      <c r="A13" s="235" t="s">
        <v>17</v>
      </c>
      <c r="B13" s="220" t="s">
        <v>18</v>
      </c>
      <c r="C13" s="223">
        <v>185</v>
      </c>
      <c r="D13" s="223">
        <v>39</v>
      </c>
      <c r="E13" s="964">
        <f t="shared" si="0"/>
        <v>4.7435897435897436</v>
      </c>
      <c r="F13" s="674">
        <v>3</v>
      </c>
      <c r="G13" s="224">
        <v>2</v>
      </c>
      <c r="H13" s="967">
        <f t="shared" ref="H13:H65" si="1">F13/G13</f>
        <v>1.5</v>
      </c>
    </row>
    <row r="14" spans="1:8">
      <c r="A14" s="235" t="s">
        <v>19</v>
      </c>
      <c r="B14" s="220" t="s">
        <v>20</v>
      </c>
      <c r="C14" s="223">
        <v>195</v>
      </c>
      <c r="D14" s="223">
        <v>74</v>
      </c>
      <c r="E14" s="964">
        <f t="shared" si="0"/>
        <v>2.6351351351351351</v>
      </c>
      <c r="F14" s="674">
        <v>5</v>
      </c>
      <c r="G14" s="223">
        <v>2</v>
      </c>
      <c r="H14" s="967">
        <f t="shared" si="1"/>
        <v>2.5</v>
      </c>
    </row>
    <row r="15" spans="1:8">
      <c r="A15" s="235" t="s">
        <v>21</v>
      </c>
      <c r="B15" s="220" t="s">
        <v>22</v>
      </c>
      <c r="C15" s="223">
        <v>182</v>
      </c>
      <c r="D15" s="223">
        <v>27</v>
      </c>
      <c r="E15" s="964">
        <f t="shared" si="0"/>
        <v>6.7407407407407405</v>
      </c>
      <c r="F15" s="674">
        <v>62</v>
      </c>
      <c r="G15" s="223">
        <v>21</v>
      </c>
      <c r="H15" s="967">
        <f t="shared" si="1"/>
        <v>2.9523809523809526</v>
      </c>
    </row>
    <row r="16" spans="1:8">
      <c r="A16" s="235" t="s">
        <v>23</v>
      </c>
      <c r="B16" s="220" t="s">
        <v>24</v>
      </c>
      <c r="C16" s="223">
        <v>45</v>
      </c>
      <c r="D16" s="223">
        <v>9</v>
      </c>
      <c r="E16" s="964">
        <f t="shared" si="0"/>
        <v>5</v>
      </c>
      <c r="F16" s="674">
        <v>18</v>
      </c>
      <c r="G16" s="223">
        <v>3</v>
      </c>
      <c r="H16" s="967">
        <f t="shared" si="1"/>
        <v>6</v>
      </c>
    </row>
    <row r="17" spans="1:8">
      <c r="A17" s="235" t="s">
        <v>25</v>
      </c>
      <c r="B17" s="220" t="s">
        <v>26</v>
      </c>
      <c r="C17" s="223">
        <v>146</v>
      </c>
      <c r="D17" s="223">
        <v>13</v>
      </c>
      <c r="E17" s="964">
        <f t="shared" si="0"/>
        <v>11.23076923076923</v>
      </c>
      <c r="F17" s="674">
        <v>34</v>
      </c>
      <c r="G17" s="223">
        <v>17</v>
      </c>
      <c r="H17" s="967">
        <f t="shared" si="1"/>
        <v>2</v>
      </c>
    </row>
    <row r="18" spans="1:8">
      <c r="A18" s="235" t="s">
        <v>27</v>
      </c>
      <c r="B18" s="220" t="s">
        <v>28</v>
      </c>
      <c r="C18" s="223">
        <v>59</v>
      </c>
      <c r="D18" s="223">
        <v>7</v>
      </c>
      <c r="E18" s="964">
        <f t="shared" si="0"/>
        <v>8.4285714285714288</v>
      </c>
      <c r="F18" s="674">
        <v>15</v>
      </c>
      <c r="G18" s="223">
        <v>2</v>
      </c>
      <c r="H18" s="967">
        <f t="shared" si="1"/>
        <v>7.5</v>
      </c>
    </row>
    <row r="19" spans="1:8">
      <c r="A19" s="235" t="s">
        <v>29</v>
      </c>
      <c r="B19" s="220" t="s">
        <v>30</v>
      </c>
      <c r="C19" s="223">
        <v>129</v>
      </c>
      <c r="D19" s="223">
        <v>50</v>
      </c>
      <c r="E19" s="964">
        <f t="shared" si="0"/>
        <v>2.58</v>
      </c>
      <c r="F19" s="674">
        <v>29</v>
      </c>
      <c r="G19" s="223">
        <v>24</v>
      </c>
      <c r="H19" s="967">
        <f t="shared" si="1"/>
        <v>1.2083333333333333</v>
      </c>
    </row>
    <row r="20" spans="1:8">
      <c r="A20" s="235" t="s">
        <v>31</v>
      </c>
      <c r="B20" s="220" t="s">
        <v>32</v>
      </c>
      <c r="C20" s="223">
        <v>42</v>
      </c>
      <c r="D20" s="223">
        <v>5</v>
      </c>
      <c r="E20" s="964">
        <f t="shared" si="0"/>
        <v>8.4</v>
      </c>
      <c r="F20" s="674">
        <v>9</v>
      </c>
      <c r="G20" s="223">
        <v>4</v>
      </c>
      <c r="H20" s="967">
        <f t="shared" si="1"/>
        <v>2.25</v>
      </c>
    </row>
    <row r="21" spans="1:8">
      <c r="A21" s="235" t="s">
        <v>33</v>
      </c>
      <c r="B21" s="220" t="s">
        <v>34</v>
      </c>
      <c r="C21" s="223">
        <v>22</v>
      </c>
      <c r="D21" s="223">
        <v>2</v>
      </c>
      <c r="E21" s="964">
        <f t="shared" si="0"/>
        <v>11</v>
      </c>
      <c r="F21" s="674">
        <v>2</v>
      </c>
      <c r="G21" s="223"/>
      <c r="H21" s="967"/>
    </row>
    <row r="22" spans="1:8">
      <c r="A22" s="235" t="s">
        <v>35</v>
      </c>
      <c r="B22" s="220" t="s">
        <v>36</v>
      </c>
      <c r="C22" s="223">
        <v>100</v>
      </c>
      <c r="D22" s="223">
        <v>29</v>
      </c>
      <c r="E22" s="964">
        <f t="shared" si="0"/>
        <v>3.4482758620689653</v>
      </c>
      <c r="F22" s="674">
        <v>20</v>
      </c>
      <c r="G22" s="223">
        <v>18</v>
      </c>
      <c r="H22" s="967">
        <f t="shared" si="1"/>
        <v>1.1111111111111112</v>
      </c>
    </row>
    <row r="23" spans="1:8" ht="26.4">
      <c r="A23" s="235" t="s">
        <v>37</v>
      </c>
      <c r="B23" s="220" t="s">
        <v>122</v>
      </c>
      <c r="C23" s="223">
        <v>96</v>
      </c>
      <c r="D23" s="223">
        <v>15</v>
      </c>
      <c r="E23" s="964">
        <f t="shared" si="0"/>
        <v>6.4</v>
      </c>
      <c r="F23" s="674">
        <v>17</v>
      </c>
      <c r="G23" s="223">
        <v>8</v>
      </c>
      <c r="H23" s="967">
        <f t="shared" si="1"/>
        <v>2.125</v>
      </c>
    </row>
    <row r="24" spans="1:8">
      <c r="A24" s="235" t="s">
        <v>38</v>
      </c>
      <c r="B24" s="220" t="s">
        <v>39</v>
      </c>
      <c r="C24" s="223">
        <v>163</v>
      </c>
      <c r="D24" s="223">
        <v>52</v>
      </c>
      <c r="E24" s="964">
        <f t="shared" si="0"/>
        <v>3.1346153846153846</v>
      </c>
      <c r="F24" s="674">
        <v>48</v>
      </c>
      <c r="G24" s="223">
        <v>32</v>
      </c>
      <c r="H24" s="967">
        <f t="shared" si="1"/>
        <v>1.5</v>
      </c>
    </row>
    <row r="25" spans="1:8">
      <c r="A25" s="235" t="s">
        <v>40</v>
      </c>
      <c r="B25" s="220" t="s">
        <v>41</v>
      </c>
      <c r="C25" s="223">
        <v>179</v>
      </c>
      <c r="D25" s="223">
        <v>12</v>
      </c>
      <c r="E25" s="964">
        <f t="shared" si="0"/>
        <v>14.916666666666666</v>
      </c>
      <c r="F25" s="674">
        <v>32</v>
      </c>
      <c r="G25" s="223">
        <v>12</v>
      </c>
      <c r="H25" s="967">
        <f t="shared" si="1"/>
        <v>2.6666666666666665</v>
      </c>
    </row>
    <row r="26" spans="1:8" ht="39.6">
      <c r="A26" s="235" t="s">
        <v>42</v>
      </c>
      <c r="B26" s="220" t="s">
        <v>230</v>
      </c>
      <c r="C26" s="223">
        <v>226</v>
      </c>
      <c r="D26" s="223">
        <v>32</v>
      </c>
      <c r="E26" s="964">
        <f t="shared" si="0"/>
        <v>7.0625</v>
      </c>
      <c r="F26" s="674">
        <v>25</v>
      </c>
      <c r="G26" s="223">
        <v>17</v>
      </c>
      <c r="H26" s="967">
        <f t="shared" si="1"/>
        <v>1.4705882352941178</v>
      </c>
    </row>
    <row r="27" spans="1:8">
      <c r="A27" s="235" t="s">
        <v>43</v>
      </c>
      <c r="B27" s="220" t="s">
        <v>44</v>
      </c>
      <c r="C27" s="223">
        <v>221</v>
      </c>
      <c r="D27" s="223">
        <v>28</v>
      </c>
      <c r="E27" s="964">
        <f t="shared" si="0"/>
        <v>7.8928571428571432</v>
      </c>
      <c r="F27" s="674">
        <v>26</v>
      </c>
      <c r="G27" s="223">
        <v>16</v>
      </c>
      <c r="H27" s="967">
        <f t="shared" si="1"/>
        <v>1.625</v>
      </c>
    </row>
    <row r="28" spans="1:8">
      <c r="A28" s="235" t="s">
        <v>45</v>
      </c>
      <c r="B28" s="220" t="s">
        <v>320</v>
      </c>
      <c r="C28" s="223">
        <v>133</v>
      </c>
      <c r="D28" s="223">
        <v>5</v>
      </c>
      <c r="E28" s="964">
        <f t="shared" si="0"/>
        <v>26.6</v>
      </c>
      <c r="F28" s="674">
        <v>14</v>
      </c>
      <c r="G28" s="223">
        <v>6</v>
      </c>
      <c r="H28" s="967">
        <f t="shared" si="1"/>
        <v>2.3333333333333335</v>
      </c>
    </row>
    <row r="29" spans="1:8" ht="26.4">
      <c r="A29" s="235">
        <v>21</v>
      </c>
      <c r="B29" s="220" t="s">
        <v>231</v>
      </c>
      <c r="C29" s="223">
        <v>132</v>
      </c>
      <c r="D29" s="1964">
        <v>15</v>
      </c>
      <c r="E29" s="964">
        <f>C29/D29</f>
        <v>8.8000000000000007</v>
      </c>
      <c r="F29" s="674">
        <v>28</v>
      </c>
      <c r="G29" s="223">
        <v>14</v>
      </c>
      <c r="H29" s="967">
        <f>F29/G29</f>
        <v>2</v>
      </c>
    </row>
    <row r="30" spans="1:8" ht="26.4">
      <c r="A30" s="235" t="s">
        <v>47</v>
      </c>
      <c r="B30" s="220" t="s">
        <v>232</v>
      </c>
      <c r="C30" s="223">
        <v>312</v>
      </c>
      <c r="D30" s="223">
        <v>39</v>
      </c>
      <c r="E30" s="964">
        <f t="shared" si="0"/>
        <v>8</v>
      </c>
      <c r="F30" s="674">
        <v>45</v>
      </c>
      <c r="G30" s="223">
        <v>16</v>
      </c>
      <c r="H30" s="967">
        <f t="shared" si="1"/>
        <v>2.8125</v>
      </c>
    </row>
    <row r="31" spans="1:8">
      <c r="A31" s="235" t="s">
        <v>48</v>
      </c>
      <c r="B31" s="220" t="s">
        <v>49</v>
      </c>
      <c r="C31" s="223">
        <v>136</v>
      </c>
      <c r="D31" s="223">
        <v>18</v>
      </c>
      <c r="E31" s="964">
        <f t="shared" si="0"/>
        <v>7.5555555555555554</v>
      </c>
      <c r="F31" s="674">
        <v>31</v>
      </c>
      <c r="G31" s="223">
        <v>10</v>
      </c>
      <c r="H31" s="967">
        <f t="shared" si="1"/>
        <v>3.1</v>
      </c>
    </row>
    <row r="32" spans="1:8">
      <c r="A32" s="235" t="s">
        <v>50</v>
      </c>
      <c r="B32" s="220" t="s">
        <v>51</v>
      </c>
      <c r="C32" s="223">
        <v>71</v>
      </c>
      <c r="D32" s="223">
        <v>6</v>
      </c>
      <c r="E32" s="964">
        <f t="shared" si="0"/>
        <v>11.833333333333334</v>
      </c>
      <c r="F32" s="674">
        <v>11</v>
      </c>
      <c r="G32" s="223">
        <v>8</v>
      </c>
      <c r="H32" s="967">
        <f t="shared" si="1"/>
        <v>1.375</v>
      </c>
    </row>
    <row r="33" spans="1:8">
      <c r="A33" s="235" t="s">
        <v>52</v>
      </c>
      <c r="B33" s="220" t="s">
        <v>53</v>
      </c>
      <c r="C33" s="223">
        <v>238</v>
      </c>
      <c r="D33" s="223">
        <v>16</v>
      </c>
      <c r="E33" s="964">
        <f t="shared" si="0"/>
        <v>14.875</v>
      </c>
      <c r="F33" s="674">
        <v>100</v>
      </c>
      <c r="G33" s="223">
        <v>11</v>
      </c>
      <c r="H33" s="967">
        <f t="shared" si="1"/>
        <v>9.0909090909090917</v>
      </c>
    </row>
    <row r="34" spans="1:8">
      <c r="A34" s="235" t="s">
        <v>54</v>
      </c>
      <c r="B34" s="220" t="s">
        <v>55</v>
      </c>
      <c r="C34" s="223">
        <v>310</v>
      </c>
      <c r="D34" s="223">
        <v>45</v>
      </c>
      <c r="E34" s="964">
        <f t="shared" si="0"/>
        <v>6.8888888888888893</v>
      </c>
      <c r="F34" s="674">
        <v>110</v>
      </c>
      <c r="G34" s="223">
        <v>24</v>
      </c>
      <c r="H34" s="967">
        <f t="shared" si="1"/>
        <v>4.583333333333333</v>
      </c>
    </row>
    <row r="35" spans="1:8">
      <c r="A35" s="235" t="s">
        <v>56</v>
      </c>
      <c r="B35" s="220" t="s">
        <v>57</v>
      </c>
      <c r="C35" s="223">
        <v>435</v>
      </c>
      <c r="D35" s="223">
        <v>84</v>
      </c>
      <c r="E35" s="964">
        <f t="shared" si="0"/>
        <v>5.1785714285714288</v>
      </c>
      <c r="F35" s="674">
        <v>103</v>
      </c>
      <c r="G35" s="223">
        <v>28</v>
      </c>
      <c r="H35" s="967">
        <f t="shared" si="1"/>
        <v>3.6785714285714284</v>
      </c>
    </row>
    <row r="36" spans="1:8">
      <c r="A36" s="235" t="s">
        <v>58</v>
      </c>
      <c r="B36" s="220" t="s">
        <v>59</v>
      </c>
      <c r="C36" s="223">
        <v>320</v>
      </c>
      <c r="D36" s="223">
        <v>22</v>
      </c>
      <c r="E36" s="964">
        <f t="shared" si="0"/>
        <v>14.545454545454545</v>
      </c>
      <c r="F36" s="674">
        <v>95</v>
      </c>
      <c r="G36" s="223">
        <v>9</v>
      </c>
      <c r="H36" s="967">
        <f t="shared" si="1"/>
        <v>10.555555555555555</v>
      </c>
    </row>
    <row r="37" spans="1:8">
      <c r="A37" s="235" t="s">
        <v>60</v>
      </c>
      <c r="B37" s="220" t="s">
        <v>61</v>
      </c>
      <c r="C37" s="223">
        <v>132</v>
      </c>
      <c r="D37" s="223">
        <v>5</v>
      </c>
      <c r="E37" s="964">
        <f t="shared" si="0"/>
        <v>26.4</v>
      </c>
      <c r="F37" s="674">
        <v>33</v>
      </c>
      <c r="G37" s="223">
        <v>6</v>
      </c>
      <c r="H37" s="967">
        <f t="shared" si="1"/>
        <v>5.5</v>
      </c>
    </row>
    <row r="38" spans="1:8">
      <c r="A38" s="235" t="s">
        <v>62</v>
      </c>
      <c r="B38" s="220" t="s">
        <v>63</v>
      </c>
      <c r="C38" s="223">
        <v>180</v>
      </c>
      <c r="D38" s="223">
        <v>10</v>
      </c>
      <c r="E38" s="964">
        <f t="shared" si="0"/>
        <v>18</v>
      </c>
      <c r="F38" s="674">
        <v>42</v>
      </c>
      <c r="G38" s="223">
        <v>7</v>
      </c>
      <c r="H38" s="967">
        <f t="shared" si="1"/>
        <v>6</v>
      </c>
    </row>
    <row r="39" spans="1:8">
      <c r="A39" s="235" t="s">
        <v>64</v>
      </c>
      <c r="B39" s="220" t="s">
        <v>65</v>
      </c>
      <c r="C39" s="223">
        <v>278</v>
      </c>
      <c r="D39" s="223">
        <v>9</v>
      </c>
      <c r="E39" s="964">
        <f t="shared" si="0"/>
        <v>30.888888888888889</v>
      </c>
      <c r="F39" s="674">
        <v>78</v>
      </c>
      <c r="G39" s="223">
        <v>12</v>
      </c>
      <c r="H39" s="967">
        <f t="shared" si="1"/>
        <v>6.5</v>
      </c>
    </row>
    <row r="40" spans="1:8">
      <c r="A40" s="235" t="s">
        <v>66</v>
      </c>
      <c r="B40" s="220" t="s">
        <v>67</v>
      </c>
      <c r="C40" s="223">
        <v>231</v>
      </c>
      <c r="D40" s="223">
        <v>8</v>
      </c>
      <c r="E40" s="964">
        <f t="shared" si="0"/>
        <v>28.875</v>
      </c>
      <c r="F40" s="674">
        <v>58</v>
      </c>
      <c r="G40" s="223">
        <v>11</v>
      </c>
      <c r="H40" s="967">
        <f t="shared" si="1"/>
        <v>5.2727272727272725</v>
      </c>
    </row>
    <row r="41" spans="1:8">
      <c r="A41" s="235" t="s">
        <v>68</v>
      </c>
      <c r="B41" s="220" t="s">
        <v>69</v>
      </c>
      <c r="C41" s="223">
        <v>245</v>
      </c>
      <c r="D41" s="223">
        <v>13</v>
      </c>
      <c r="E41" s="964">
        <f t="shared" si="0"/>
        <v>18.846153846153847</v>
      </c>
      <c r="F41" s="674">
        <v>41</v>
      </c>
      <c r="G41" s="223">
        <v>9</v>
      </c>
      <c r="H41" s="967">
        <f t="shared" si="1"/>
        <v>4.5555555555555554</v>
      </c>
    </row>
    <row r="42" spans="1:8">
      <c r="A42" s="235" t="s">
        <v>70</v>
      </c>
      <c r="B42" s="220" t="s">
        <v>71</v>
      </c>
      <c r="C42" s="223">
        <v>72</v>
      </c>
      <c r="D42" s="223">
        <v>2</v>
      </c>
      <c r="E42" s="964">
        <f t="shared" si="0"/>
        <v>36</v>
      </c>
      <c r="F42" s="674">
        <v>16</v>
      </c>
      <c r="G42" s="223">
        <v>5</v>
      </c>
      <c r="H42" s="967">
        <f t="shared" si="1"/>
        <v>3.2</v>
      </c>
    </row>
    <row r="43" spans="1:8">
      <c r="A43" s="235" t="s">
        <v>72</v>
      </c>
      <c r="B43" s="220" t="s">
        <v>73</v>
      </c>
      <c r="C43" s="223">
        <v>133</v>
      </c>
      <c r="D43" s="223">
        <v>10</v>
      </c>
      <c r="E43" s="964">
        <f t="shared" si="0"/>
        <v>13.3</v>
      </c>
      <c r="F43" s="674">
        <v>40</v>
      </c>
      <c r="G43" s="223">
        <v>5</v>
      </c>
      <c r="H43" s="967">
        <f t="shared" si="1"/>
        <v>8</v>
      </c>
    </row>
    <row r="44" spans="1:8">
      <c r="A44" s="235" t="s">
        <v>74</v>
      </c>
      <c r="B44" s="220" t="s">
        <v>75</v>
      </c>
      <c r="C44" s="223">
        <v>181</v>
      </c>
      <c r="D44" s="223">
        <v>8</v>
      </c>
      <c r="E44" s="964">
        <f t="shared" si="0"/>
        <v>22.625</v>
      </c>
      <c r="F44" s="674">
        <v>42</v>
      </c>
      <c r="G44" s="223">
        <v>5</v>
      </c>
      <c r="H44" s="967">
        <f t="shared" si="1"/>
        <v>8.4</v>
      </c>
    </row>
    <row r="45" spans="1:8">
      <c r="A45" s="235" t="s">
        <v>76</v>
      </c>
      <c r="B45" s="220" t="s">
        <v>77</v>
      </c>
      <c r="C45" s="223">
        <v>85</v>
      </c>
      <c r="D45" s="223">
        <v>2</v>
      </c>
      <c r="E45" s="964">
        <f t="shared" si="0"/>
        <v>42.5</v>
      </c>
      <c r="F45" s="674">
        <v>18</v>
      </c>
      <c r="G45" s="223">
        <v>2</v>
      </c>
      <c r="H45" s="967">
        <f t="shared" si="1"/>
        <v>9</v>
      </c>
    </row>
    <row r="46" spans="1:8">
      <c r="A46" s="235" t="s">
        <v>78</v>
      </c>
      <c r="B46" s="220" t="s">
        <v>79</v>
      </c>
      <c r="C46" s="223">
        <v>272</v>
      </c>
      <c r="D46" s="223">
        <v>57</v>
      </c>
      <c r="E46" s="964">
        <f t="shared" si="0"/>
        <v>4.7719298245614032</v>
      </c>
      <c r="F46" s="674">
        <v>108</v>
      </c>
      <c r="G46" s="223">
        <v>34</v>
      </c>
      <c r="H46" s="967">
        <f t="shared" si="1"/>
        <v>3.1764705882352939</v>
      </c>
    </row>
    <row r="47" spans="1:8">
      <c r="A47" s="235" t="s">
        <v>80</v>
      </c>
      <c r="B47" s="220" t="s">
        <v>81</v>
      </c>
      <c r="C47" s="223">
        <v>227</v>
      </c>
      <c r="D47" s="223">
        <v>29</v>
      </c>
      <c r="E47" s="964">
        <f t="shared" si="0"/>
        <v>7.8275862068965516</v>
      </c>
      <c r="F47" s="674">
        <v>61</v>
      </c>
      <c r="G47" s="223">
        <v>16</v>
      </c>
      <c r="H47" s="967">
        <f t="shared" si="1"/>
        <v>3.8125</v>
      </c>
    </row>
    <row r="48" spans="1:8">
      <c r="A48" s="235" t="s">
        <v>82</v>
      </c>
      <c r="B48" s="220" t="s">
        <v>83</v>
      </c>
      <c r="C48" s="223">
        <v>155</v>
      </c>
      <c r="D48" s="223">
        <v>21</v>
      </c>
      <c r="E48" s="964">
        <f t="shared" si="0"/>
        <v>7.3809523809523814</v>
      </c>
      <c r="F48" s="674">
        <v>48</v>
      </c>
      <c r="G48" s="223">
        <v>15</v>
      </c>
      <c r="H48" s="967">
        <f t="shared" si="1"/>
        <v>3.2</v>
      </c>
    </row>
    <row r="49" spans="1:15">
      <c r="A49" s="235" t="s">
        <v>84</v>
      </c>
      <c r="B49" s="675" t="s">
        <v>355</v>
      </c>
      <c r="C49" s="223">
        <v>156</v>
      </c>
      <c r="D49" s="223">
        <v>18</v>
      </c>
      <c r="E49" s="964">
        <f t="shared" si="0"/>
        <v>8.6666666666666661</v>
      </c>
      <c r="F49" s="674">
        <v>56</v>
      </c>
      <c r="G49" s="223">
        <v>14</v>
      </c>
      <c r="H49" s="967">
        <f t="shared" si="1"/>
        <v>4</v>
      </c>
    </row>
    <row r="50" spans="1:15">
      <c r="A50" s="235" t="s">
        <v>85</v>
      </c>
      <c r="B50" s="220" t="s">
        <v>86</v>
      </c>
      <c r="C50" s="223">
        <v>443</v>
      </c>
      <c r="D50" s="223">
        <v>20</v>
      </c>
      <c r="E50" s="964">
        <f t="shared" si="0"/>
        <v>22.15</v>
      </c>
      <c r="F50" s="674">
        <v>70</v>
      </c>
      <c r="G50" s="223">
        <v>18</v>
      </c>
      <c r="H50" s="967">
        <f t="shared" si="1"/>
        <v>3.8888888888888888</v>
      </c>
    </row>
    <row r="51" spans="1:15">
      <c r="A51" s="235" t="s">
        <v>87</v>
      </c>
      <c r="B51" s="220" t="s">
        <v>88</v>
      </c>
      <c r="C51" s="223">
        <v>492</v>
      </c>
      <c r="D51" s="223">
        <v>16</v>
      </c>
      <c r="E51" s="964">
        <f t="shared" si="0"/>
        <v>30.75</v>
      </c>
      <c r="F51" s="674">
        <v>90</v>
      </c>
      <c r="G51" s="223">
        <v>8</v>
      </c>
      <c r="H51" s="967">
        <f t="shared" si="1"/>
        <v>11.25</v>
      </c>
      <c r="O51" s="525">
        <f>8397/1911</f>
        <v>4.39403453689168</v>
      </c>
    </row>
    <row r="52" spans="1:15">
      <c r="A52" s="235" t="s">
        <v>89</v>
      </c>
      <c r="B52" s="220" t="s">
        <v>90</v>
      </c>
      <c r="C52" s="223">
        <v>206</v>
      </c>
      <c r="D52" s="223">
        <v>16</v>
      </c>
      <c r="E52" s="964">
        <f t="shared" si="0"/>
        <v>12.875</v>
      </c>
      <c r="F52" s="674">
        <v>44</v>
      </c>
      <c r="G52" s="223">
        <v>5</v>
      </c>
      <c r="H52" s="967">
        <f t="shared" si="1"/>
        <v>8.8000000000000007</v>
      </c>
      <c r="L52" s="1755">
        <f>1580/554</f>
        <v>2.8519855595667871</v>
      </c>
    </row>
    <row r="53" spans="1:15">
      <c r="A53" s="235" t="s">
        <v>91</v>
      </c>
      <c r="B53" s="220" t="s">
        <v>92</v>
      </c>
      <c r="C53" s="223">
        <v>212</v>
      </c>
      <c r="D53" s="223">
        <v>17</v>
      </c>
      <c r="E53" s="964">
        <f t="shared" si="0"/>
        <v>12.470588235294118</v>
      </c>
      <c r="F53" s="674">
        <v>38</v>
      </c>
      <c r="G53" s="223">
        <v>7</v>
      </c>
      <c r="H53" s="967">
        <f t="shared" si="1"/>
        <v>5.4285714285714288</v>
      </c>
    </row>
    <row r="54" spans="1:15">
      <c r="A54" s="235" t="s">
        <v>93</v>
      </c>
      <c r="B54" s="220" t="s">
        <v>94</v>
      </c>
      <c r="C54" s="223">
        <v>255</v>
      </c>
      <c r="D54" s="223">
        <v>7</v>
      </c>
      <c r="E54" s="964">
        <f t="shared" si="0"/>
        <v>36.428571428571431</v>
      </c>
      <c r="F54" s="674">
        <v>44</v>
      </c>
      <c r="G54" s="223">
        <v>2</v>
      </c>
      <c r="H54" s="967">
        <f t="shared" si="1"/>
        <v>22</v>
      </c>
    </row>
    <row r="55" spans="1:15">
      <c r="A55" s="235" t="s">
        <v>95</v>
      </c>
      <c r="B55" s="220" t="s">
        <v>96</v>
      </c>
      <c r="C55" s="223">
        <v>193</v>
      </c>
      <c r="D55" s="223">
        <v>4</v>
      </c>
      <c r="E55" s="964">
        <f t="shared" si="0"/>
        <v>48.25</v>
      </c>
      <c r="F55" s="674">
        <v>31</v>
      </c>
      <c r="G55" s="223">
        <v>4</v>
      </c>
      <c r="H55" s="967">
        <f t="shared" si="1"/>
        <v>7.75</v>
      </c>
      <c r="O55" s="525">
        <f>8290/1723</f>
        <v>4.8113755078351712</v>
      </c>
    </row>
    <row r="56" spans="1:15">
      <c r="A56" s="235" t="s">
        <v>97</v>
      </c>
      <c r="B56" s="220" t="s">
        <v>98</v>
      </c>
      <c r="C56" s="223">
        <v>125</v>
      </c>
      <c r="D56" s="223">
        <v>37</v>
      </c>
      <c r="E56" s="964">
        <f t="shared" si="0"/>
        <v>3.3783783783783785</v>
      </c>
      <c r="F56" s="674">
        <v>22</v>
      </c>
      <c r="G56" s="223">
        <v>19</v>
      </c>
      <c r="H56" s="967">
        <f t="shared" si="1"/>
        <v>1.1578947368421053</v>
      </c>
    </row>
    <row r="57" spans="1:15">
      <c r="A57" s="235" t="s">
        <v>99</v>
      </c>
      <c r="B57" s="220" t="s">
        <v>100</v>
      </c>
      <c r="C57" s="223">
        <v>69</v>
      </c>
      <c r="D57" s="223">
        <v>31</v>
      </c>
      <c r="E57" s="964">
        <f t="shared" si="0"/>
        <v>2.225806451612903</v>
      </c>
      <c r="F57" s="674">
        <v>17</v>
      </c>
      <c r="G57" s="223">
        <v>18</v>
      </c>
      <c r="H57" s="967">
        <f t="shared" si="1"/>
        <v>0.94444444444444442</v>
      </c>
      <c r="L57" s="1755">
        <f>6743/1169</f>
        <v>5.768177929854577</v>
      </c>
    </row>
    <row r="58" spans="1:15">
      <c r="A58" s="235">
        <v>72</v>
      </c>
      <c r="B58" s="220" t="s">
        <v>117</v>
      </c>
      <c r="C58" s="223">
        <v>75</v>
      </c>
      <c r="D58" s="223">
        <v>1</v>
      </c>
      <c r="E58" s="964">
        <f t="shared" si="0"/>
        <v>75</v>
      </c>
      <c r="F58" s="674">
        <v>15</v>
      </c>
      <c r="G58" s="223"/>
      <c r="H58" s="967" t="s">
        <v>530</v>
      </c>
    </row>
    <row r="59" spans="1:15">
      <c r="A59" s="235" t="s">
        <v>101</v>
      </c>
      <c r="B59" s="220" t="s">
        <v>102</v>
      </c>
      <c r="C59" s="223">
        <v>17</v>
      </c>
      <c r="D59" s="223">
        <v>1</v>
      </c>
      <c r="E59" s="964">
        <f>C59/D59</f>
        <v>17</v>
      </c>
      <c r="F59" s="674">
        <v>6</v>
      </c>
      <c r="G59" s="223"/>
      <c r="H59" s="967" t="s">
        <v>530</v>
      </c>
    </row>
    <row r="60" spans="1:15">
      <c r="A60" s="235" t="s">
        <v>103</v>
      </c>
      <c r="B60" s="220" t="s">
        <v>104</v>
      </c>
      <c r="C60" s="223">
        <v>81</v>
      </c>
      <c r="D60" s="223">
        <v>29</v>
      </c>
      <c r="E60" s="964">
        <f t="shared" si="0"/>
        <v>2.7931034482758621</v>
      </c>
      <c r="F60" s="674">
        <v>15</v>
      </c>
      <c r="G60" s="223">
        <v>10</v>
      </c>
      <c r="H60" s="967">
        <f t="shared" si="1"/>
        <v>1.5</v>
      </c>
    </row>
    <row r="61" spans="1:15">
      <c r="A61" s="235">
        <v>76</v>
      </c>
      <c r="B61" s="220" t="s">
        <v>200</v>
      </c>
      <c r="C61" s="223">
        <v>5</v>
      </c>
      <c r="D61" s="223">
        <v>2</v>
      </c>
      <c r="E61" s="964">
        <f t="shared" si="0"/>
        <v>2.5</v>
      </c>
      <c r="F61" s="674">
        <v>3</v>
      </c>
      <c r="G61" s="223"/>
      <c r="H61" s="967" t="s">
        <v>530</v>
      </c>
    </row>
    <row r="62" spans="1:15">
      <c r="A62" s="236">
        <v>77</v>
      </c>
      <c r="B62" s="225" t="s">
        <v>201</v>
      </c>
      <c r="C62" s="223">
        <v>4</v>
      </c>
      <c r="D62" s="223"/>
      <c r="E62" s="964" t="s">
        <v>530</v>
      </c>
      <c r="F62" s="674">
        <v>1</v>
      </c>
      <c r="G62" s="223"/>
      <c r="H62" s="967"/>
    </row>
    <row r="63" spans="1:15">
      <c r="A63" s="237" t="s">
        <v>517</v>
      </c>
      <c r="B63" s="229" t="s">
        <v>518</v>
      </c>
      <c r="C63" s="223">
        <v>78</v>
      </c>
      <c r="D63" s="223">
        <v>9</v>
      </c>
      <c r="E63" s="964">
        <f t="shared" si="0"/>
        <v>8.6666666666666661</v>
      </c>
      <c r="F63" s="674">
        <v>6</v>
      </c>
      <c r="G63" s="223">
        <v>1</v>
      </c>
      <c r="H63" s="967">
        <f t="shared" si="1"/>
        <v>6</v>
      </c>
    </row>
    <row r="64" spans="1:15">
      <c r="A64" s="237" t="s">
        <v>519</v>
      </c>
      <c r="B64" s="229" t="s">
        <v>520</v>
      </c>
      <c r="C64" s="223">
        <v>104</v>
      </c>
      <c r="D64" s="223">
        <v>21</v>
      </c>
      <c r="E64" s="964">
        <f t="shared" si="0"/>
        <v>4.9523809523809526</v>
      </c>
      <c r="F64" s="674">
        <v>4</v>
      </c>
      <c r="G64" s="223">
        <v>9</v>
      </c>
      <c r="H64" s="967">
        <f t="shared" si="1"/>
        <v>0.44444444444444442</v>
      </c>
    </row>
    <row r="65" spans="1:13" ht="13.8" thickBot="1">
      <c r="A65" s="197" t="s">
        <v>521</v>
      </c>
      <c r="B65" s="238" t="s">
        <v>522</v>
      </c>
      <c r="C65" s="239">
        <v>138</v>
      </c>
      <c r="D65" s="239">
        <v>9</v>
      </c>
      <c r="E65" s="965">
        <f t="shared" si="0"/>
        <v>15.333333333333334</v>
      </c>
      <c r="F65" s="676">
        <v>8</v>
      </c>
      <c r="G65" s="239">
        <v>8</v>
      </c>
      <c r="H65" s="968">
        <f t="shared" si="1"/>
        <v>1</v>
      </c>
      <c r="M65" s="1755"/>
    </row>
    <row r="66" spans="1:13" ht="12.75" customHeight="1" thickBot="1">
      <c r="A66" s="227"/>
      <c r="B66" s="228"/>
      <c r="C66" s="106"/>
      <c r="D66" s="107"/>
      <c r="E66" s="681"/>
      <c r="F66" s="106"/>
      <c r="G66" s="107"/>
      <c r="H66" s="681"/>
    </row>
    <row r="67" spans="1:13" ht="12.75" customHeight="1" thickBot="1">
      <c r="A67" s="448"/>
      <c r="B67" s="443" t="s">
        <v>105</v>
      </c>
      <c r="C67" s="942">
        <f>SUM(C9:C66)</f>
        <v>9157</v>
      </c>
      <c r="D67" s="942">
        <f>SUM(D9:D66)</f>
        <v>1169</v>
      </c>
      <c r="E67" s="969">
        <f>C67/D67</f>
        <v>7.8331907613344738</v>
      </c>
      <c r="F67" s="942">
        <f>SUM(F9:F65)</f>
        <v>1938</v>
      </c>
      <c r="G67" s="942">
        <f>SUM(G9:G65)</f>
        <v>554</v>
      </c>
      <c r="H67" s="970">
        <f>F67/G67</f>
        <v>3.4981949458483754</v>
      </c>
    </row>
    <row r="68" spans="1:13" ht="23.25" customHeight="1">
      <c r="A68" s="552" t="str">
        <f>'fiche technique'!A14</f>
        <v>Source: GALAXIE (ANTEE), DGRH A1-1 &amp; DGRH A2, juin 2014</v>
      </c>
    </row>
    <row r="69" spans="1:13" ht="38.25" customHeight="1">
      <c r="A69" s="2115" t="s">
        <v>1027</v>
      </c>
      <c r="B69" s="2115"/>
      <c r="C69" s="2115"/>
      <c r="D69" s="2115"/>
      <c r="E69" s="2115"/>
      <c r="F69" s="2115"/>
      <c r="G69" s="2115"/>
      <c r="H69" s="2115"/>
    </row>
    <row r="70" spans="1:13">
      <c r="M70" s="1755"/>
    </row>
    <row r="72" spans="1:13">
      <c r="B72" s="1195"/>
    </row>
  </sheetData>
  <mergeCells count="6">
    <mergeCell ref="A69:H69"/>
    <mergeCell ref="A2:H2"/>
    <mergeCell ref="A4:H4"/>
    <mergeCell ref="A5:H5"/>
    <mergeCell ref="C7:E7"/>
    <mergeCell ref="F7:H7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70" orientation="portrait" r:id="rId1"/>
  <headerFooter alignWithMargins="0">
    <oddHeader>&amp;LDGRH A1-1</oddHeader>
    <oddFooter>&amp;CPage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Feuil45" enableFormatConditionsCalculation="0">
    <tabColor rgb="FF00B050"/>
  </sheetPr>
  <dimension ref="A1:J794"/>
  <sheetViews>
    <sheetView zoomScale="75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10">
      <c r="B17" s="273"/>
      <c r="C17" s="273"/>
      <c r="D17" s="273"/>
    </row>
    <row r="18" spans="1:10">
      <c r="B18" s="273"/>
      <c r="C18" s="273"/>
      <c r="D18" s="273"/>
    </row>
    <row r="19" spans="1:10" ht="13.8" thickBot="1">
      <c r="B19" s="273"/>
      <c r="C19" s="273"/>
      <c r="D19" s="273"/>
    </row>
    <row r="20" spans="1:10" ht="19.5" customHeight="1" thickTop="1">
      <c r="B20" s="1993" t="s">
        <v>360</v>
      </c>
      <c r="C20" s="1994"/>
      <c r="D20" s="1994"/>
      <c r="E20" s="1994"/>
      <c r="F20" s="1994"/>
      <c r="G20" s="1994"/>
      <c r="H20" s="1994"/>
      <c r="I20" s="2124"/>
    </row>
    <row r="21" spans="1:10" ht="19.5" customHeight="1" thickBot="1">
      <c r="B21" s="2125" t="s">
        <v>545</v>
      </c>
      <c r="C21" s="2126"/>
      <c r="D21" s="2126"/>
      <c r="E21" s="2126"/>
      <c r="F21" s="2126"/>
      <c r="G21" s="2126"/>
      <c r="H21" s="2126"/>
      <c r="I21" s="2127"/>
    </row>
    <row r="22" spans="1:10" ht="19.5" customHeight="1" thickTop="1">
      <c r="B22" s="319"/>
      <c r="C22" s="1883"/>
      <c r="D22" s="1883"/>
      <c r="E22" s="1883"/>
      <c r="F22" s="1883"/>
      <c r="G22" s="1883"/>
      <c r="H22" s="1883"/>
      <c r="I22" s="320"/>
    </row>
    <row r="23" spans="1:10" ht="9.75" customHeight="1">
      <c r="B23" s="274"/>
      <c r="C23" s="274"/>
      <c r="D23" s="274"/>
    </row>
    <row r="24" spans="1:10">
      <c r="B24" s="274"/>
      <c r="C24" s="274"/>
      <c r="D24" s="274"/>
    </row>
    <row r="25" spans="1:10">
      <c r="B25" s="273"/>
      <c r="C25" s="273"/>
      <c r="D25" s="273"/>
    </row>
    <row r="26" spans="1:10" ht="19.5" customHeight="1">
      <c r="A26" s="2128" t="str">
        <f>'fiche technique'!A7</f>
        <v>Campagne 2014  - Session "synchronisée" (ANTEE)</v>
      </c>
      <c r="B26" s="2128"/>
      <c r="C26" s="2128"/>
      <c r="D26" s="2128"/>
      <c r="E26" s="2128"/>
      <c r="F26" s="2128"/>
      <c r="G26" s="2128"/>
      <c r="H26" s="2128"/>
      <c r="I26" s="2128"/>
      <c r="J26" s="2128"/>
    </row>
    <row r="27" spans="1:10">
      <c r="B27" s="273"/>
      <c r="C27" s="273"/>
      <c r="D27" s="273"/>
    </row>
    <row r="28" spans="1:10">
      <c r="B28" s="273"/>
      <c r="C28" s="273"/>
      <c r="D28" s="273"/>
    </row>
    <row r="29" spans="1:10">
      <c r="A29" s="1919"/>
      <c r="B29" s="273"/>
      <c r="C29" s="273"/>
      <c r="D29" s="273"/>
      <c r="E29" s="1919"/>
      <c r="F29" s="1919"/>
    </row>
    <row r="30" spans="1:10">
      <c r="C30" s="660" t="s">
        <v>362</v>
      </c>
      <c r="D30" s="273"/>
    </row>
    <row r="31" spans="1:10">
      <c r="C31" s="660" t="s">
        <v>357</v>
      </c>
      <c r="D31" s="279"/>
      <c r="E31" s="280"/>
      <c r="F31" s="280"/>
      <c r="G31" s="280"/>
      <c r="H31" s="280"/>
    </row>
    <row r="32" spans="1:10">
      <c r="C32" s="660" t="s">
        <v>363</v>
      </c>
      <c r="D32" s="279"/>
      <c r="E32" s="280"/>
      <c r="F32" s="280"/>
      <c r="G32" s="280"/>
      <c r="H32" s="280"/>
    </row>
    <row r="33" spans="2:9" ht="25.5" customHeight="1">
      <c r="C33" s="2122" t="s">
        <v>957</v>
      </c>
      <c r="D33" s="2123"/>
      <c r="E33" s="2123"/>
      <c r="F33" s="2123"/>
      <c r="G33" s="2123"/>
      <c r="H33" s="2123"/>
      <c r="I33" s="2123"/>
    </row>
    <row r="34" spans="2:9">
      <c r="B34" s="273"/>
      <c r="C34" s="663"/>
      <c r="D34" s="279"/>
      <c r="E34" s="280"/>
      <c r="F34" s="280"/>
      <c r="G34" s="280"/>
      <c r="H34" s="280"/>
      <c r="I34" s="280"/>
    </row>
    <row r="35" spans="2:9">
      <c r="B35" s="273"/>
      <c r="C35" s="1005"/>
      <c r="D35" s="279"/>
      <c r="E35" s="280"/>
      <c r="F35" s="280"/>
      <c r="G35" s="280"/>
      <c r="H35" s="280"/>
      <c r="I35" s="280"/>
    </row>
    <row r="36" spans="2:9">
      <c r="B36" s="273"/>
      <c r="C36" s="1005"/>
      <c r="D36" s="279"/>
      <c r="E36" s="280"/>
      <c r="F36" s="280"/>
      <c r="G36" s="280"/>
      <c r="H36" s="280"/>
      <c r="I36" s="280"/>
    </row>
    <row r="37" spans="2:9">
      <c r="B37" s="273"/>
      <c r="C37" s="1005"/>
      <c r="D37" s="279"/>
      <c r="E37" s="280"/>
      <c r="F37" s="280"/>
      <c r="G37" s="280"/>
      <c r="H37" s="280"/>
      <c r="I37" s="280"/>
    </row>
    <row r="38" spans="2:9">
      <c r="B38" s="273"/>
      <c r="C38" s="273"/>
      <c r="D38" s="273"/>
    </row>
    <row r="39" spans="2:9">
      <c r="B39" s="273"/>
      <c r="C39" s="273"/>
      <c r="D39" s="273"/>
    </row>
    <row r="40" spans="2:9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  <c r="F42" s="2001"/>
      <c r="G42" s="2001"/>
      <c r="H42" s="2001"/>
    </row>
    <row r="43" spans="2:9" ht="19.5" customHeight="1">
      <c r="B43" s="1992" t="s">
        <v>324</v>
      </c>
      <c r="C43" s="1992"/>
      <c r="D43" s="1992"/>
      <c r="E43" s="1992"/>
      <c r="F43" s="1992"/>
      <c r="G43" s="1992"/>
      <c r="H43" s="1992"/>
      <c r="I43" s="1992"/>
    </row>
    <row r="44" spans="2:9" ht="19.5" customHeight="1">
      <c r="B44" s="2002" t="s">
        <v>325</v>
      </c>
      <c r="C44" s="2002"/>
      <c r="D44" s="2002"/>
      <c r="E44" s="2002"/>
      <c r="F44" s="2002"/>
      <c r="G44" s="2002"/>
      <c r="H44" s="2002"/>
      <c r="I44" s="2002"/>
    </row>
    <row r="45" spans="2:9" ht="19.5" customHeight="1">
      <c r="B45" s="1992" t="s">
        <v>326</v>
      </c>
      <c r="C45" s="1992"/>
      <c r="D45" s="1992"/>
      <c r="E45" s="1992"/>
      <c r="F45" s="1992"/>
      <c r="G45" s="1992"/>
      <c r="H45" s="1992"/>
      <c r="I45" s="1992"/>
    </row>
    <row r="46" spans="2:9" ht="19.5" customHeight="1">
      <c r="B46" s="1991" t="s">
        <v>958</v>
      </c>
      <c r="C46" s="1992"/>
      <c r="D46" s="1992"/>
      <c r="E46" s="1992"/>
      <c r="F46" s="1992"/>
      <c r="G46" s="1992"/>
      <c r="H46" s="1992"/>
      <c r="I46" s="1992"/>
    </row>
    <row r="47" spans="2:9" ht="19.5" customHeight="1">
      <c r="B47" s="2093" t="s">
        <v>327</v>
      </c>
      <c r="C47" s="2093"/>
      <c r="D47" s="2093"/>
      <c r="E47" s="2093"/>
      <c r="F47" s="2093"/>
      <c r="G47" s="2093"/>
      <c r="H47" s="2093"/>
      <c r="I47" s="2093"/>
    </row>
    <row r="48" spans="2:9" ht="19.5" customHeight="1">
      <c r="B48" s="1803"/>
      <c r="C48" s="1803"/>
      <c r="D48" s="1803"/>
      <c r="E48" s="1803"/>
      <c r="F48" s="1803"/>
      <c r="G48" s="1803"/>
      <c r="H48" s="1803"/>
      <c r="I48" s="1803"/>
    </row>
    <row r="49" spans="2:9" ht="19.5" customHeight="1">
      <c r="B49" s="1803"/>
      <c r="C49" s="1803"/>
      <c r="D49" s="1803"/>
      <c r="E49" s="1803"/>
      <c r="F49" s="1803"/>
      <c r="G49" s="1803"/>
      <c r="H49" s="1803"/>
      <c r="I49" s="1803"/>
    </row>
    <row r="50" spans="2:9" ht="15.75" customHeight="1">
      <c r="B50" s="273"/>
      <c r="C50" s="273"/>
      <c r="D50" s="273"/>
    </row>
    <row r="51" spans="2:9">
      <c r="B51" s="273"/>
      <c r="C51" s="281"/>
      <c r="D51" s="281"/>
    </row>
    <row r="52" spans="2:9">
      <c r="B52" s="282" t="s">
        <v>328</v>
      </c>
      <c r="C52" s="281"/>
      <c r="D52" s="281"/>
      <c r="I52" s="283" t="str">
        <f>'fiche technique'!A12</f>
        <v>décembre 2014</v>
      </c>
    </row>
    <row r="53" spans="2:9">
      <c r="B53" s="273"/>
      <c r="C53" s="281"/>
      <c r="D53" s="281"/>
    </row>
    <row r="54" spans="2:9">
      <c r="B54" s="281"/>
      <c r="C54" s="281"/>
      <c r="D54" s="281"/>
    </row>
    <row r="55" spans="2:9">
      <c r="B55" s="281"/>
      <c r="C55" s="281"/>
      <c r="D55" s="281"/>
    </row>
    <row r="56" spans="2:9">
      <c r="B56" s="281"/>
      <c r="C56" s="281"/>
      <c r="D56" s="281"/>
    </row>
    <row r="57" spans="2:9">
      <c r="B57" s="281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</sheetData>
  <mergeCells count="10">
    <mergeCell ref="C33:I33"/>
    <mergeCell ref="B20:I20"/>
    <mergeCell ref="B21:I21"/>
    <mergeCell ref="A26:J26"/>
    <mergeCell ref="B46:I46"/>
    <mergeCell ref="B47:I47"/>
    <mergeCell ref="F42:H42"/>
    <mergeCell ref="B43:I43"/>
    <mergeCell ref="B44:I44"/>
    <mergeCell ref="B45:I45"/>
  </mergeCells>
  <phoneticPr fontId="30" type="noConversion"/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Feuil38">
    <tabColor rgb="FFFFFF00"/>
  </sheetPr>
  <dimension ref="A1:FU113"/>
  <sheetViews>
    <sheetView showZeros="0" topLeftCell="A34" zoomScale="75" zoomScaleNormal="75" workbookViewId="0">
      <selection activeCell="L18" sqref="L18"/>
    </sheetView>
  </sheetViews>
  <sheetFormatPr baseColWidth="10" defaultColWidth="11.44140625" defaultRowHeight="11.4"/>
  <cols>
    <col min="1" max="1" width="12.44140625" style="523" customWidth="1"/>
    <col min="2" max="2" width="53.6640625" style="523" customWidth="1"/>
    <col min="3" max="5" width="14.109375" style="523" customWidth="1"/>
    <col min="6" max="6" width="14.109375" style="524" customWidth="1"/>
    <col min="7" max="7" width="3" style="523" customWidth="1"/>
    <col min="8" max="11" width="6" style="523" customWidth="1"/>
    <col min="12" max="16384" width="11.44140625" style="523"/>
  </cols>
  <sheetData>
    <row r="1" spans="1:137" ht="15" customHeight="1">
      <c r="A1" s="555"/>
      <c r="E1" s="2129"/>
      <c r="F1" s="2129"/>
      <c r="H1" s="525"/>
      <c r="I1" s="525"/>
      <c r="J1" s="525"/>
      <c r="K1" s="525"/>
      <c r="L1" s="525"/>
    </row>
    <row r="2" spans="1:137" s="529" customFormat="1" ht="23.25" customHeight="1">
      <c r="A2" s="2073" t="str">
        <f>'fiche technique'!A5</f>
        <v>Bilan de la campagne 2014 de recrutement et d'affectation des professeurs des universités (session synchronisée - ANTEE)</v>
      </c>
      <c r="B2" s="2073"/>
      <c r="C2" s="2073"/>
      <c r="D2" s="2073"/>
      <c r="E2" s="2073"/>
      <c r="F2" s="2073"/>
      <c r="H2" s="525"/>
      <c r="I2" s="525"/>
      <c r="J2" s="525"/>
      <c r="K2" s="525"/>
      <c r="L2" s="525"/>
    </row>
    <row r="3" spans="1:137" s="529" customFormat="1" ht="15" customHeight="1">
      <c r="A3" s="557"/>
      <c r="B3" s="557"/>
      <c r="C3" s="557"/>
      <c r="D3" s="557"/>
      <c r="E3" s="557"/>
      <c r="F3" s="558"/>
      <c r="H3" s="525"/>
      <c r="I3" s="525"/>
      <c r="J3" s="525"/>
      <c r="K3" s="525"/>
      <c r="L3" s="525"/>
    </row>
    <row r="4" spans="1:137" s="529" customFormat="1" ht="20.25" customHeight="1">
      <c r="A4" s="532" t="s">
        <v>116</v>
      </c>
      <c r="B4" s="532"/>
      <c r="C4" s="532"/>
      <c r="D4" s="532"/>
      <c r="E4" s="532"/>
      <c r="F4" s="533"/>
      <c r="H4" s="525"/>
      <c r="I4" s="525"/>
      <c r="J4" s="525"/>
      <c r="K4" s="525"/>
      <c r="L4" s="525"/>
    </row>
    <row r="5" spans="1:137" s="529" customFormat="1" ht="20.25" customHeight="1">
      <c r="A5" s="2130" t="s">
        <v>234</v>
      </c>
      <c r="B5" s="2130"/>
      <c r="C5" s="2130"/>
      <c r="D5" s="2130"/>
      <c r="E5" s="2130"/>
      <c r="F5" s="2130"/>
      <c r="H5" s="525"/>
      <c r="I5" s="525"/>
      <c r="J5" s="525"/>
      <c r="K5" s="525"/>
      <c r="L5" s="525"/>
    </row>
    <row r="6" spans="1:137" s="571" customFormat="1" ht="20.25" customHeight="1">
      <c r="A6" s="2131" t="s">
        <v>991</v>
      </c>
      <c r="B6" s="2131"/>
      <c r="C6" s="2131"/>
      <c r="D6" s="2131"/>
      <c r="E6" s="2131"/>
      <c r="F6" s="2131"/>
      <c r="H6" s="525"/>
      <c r="I6" s="525"/>
      <c r="J6" s="525"/>
      <c r="K6" s="525"/>
      <c r="L6" s="525"/>
    </row>
    <row r="7" spans="1:137" s="529" customFormat="1" ht="15" customHeight="1" thickBot="1">
      <c r="A7" s="557"/>
      <c r="B7" s="559"/>
      <c r="C7" s="557"/>
      <c r="D7" s="557"/>
      <c r="E7" s="557"/>
      <c r="F7" s="558"/>
      <c r="H7" s="525"/>
      <c r="I7" s="525"/>
      <c r="J7" s="525"/>
      <c r="K7" s="525"/>
      <c r="L7" s="525"/>
    </row>
    <row r="8" spans="1:137" ht="60" customHeight="1">
      <c r="A8" s="1891" t="s">
        <v>8</v>
      </c>
      <c r="B8" s="1895" t="s">
        <v>125</v>
      </c>
      <c r="C8" s="775" t="s">
        <v>109</v>
      </c>
      <c r="D8" s="775" t="s">
        <v>158</v>
      </c>
      <c r="E8" s="775" t="s">
        <v>146</v>
      </c>
      <c r="F8" s="1899" t="s">
        <v>307</v>
      </c>
      <c r="H8" s="525"/>
      <c r="I8" s="525"/>
      <c r="J8" s="525"/>
      <c r="K8" s="525"/>
      <c r="L8" s="525"/>
    </row>
    <row r="9" spans="1:137" s="542" customFormat="1" ht="13.2">
      <c r="A9" s="539" t="s">
        <v>9</v>
      </c>
      <c r="B9" s="540" t="s">
        <v>10</v>
      </c>
      <c r="C9" s="541"/>
      <c r="D9" s="541"/>
      <c r="E9" s="541"/>
      <c r="F9" s="971"/>
      <c r="G9" s="523"/>
      <c r="H9" s="525"/>
      <c r="I9" s="567"/>
      <c r="J9" s="525"/>
      <c r="K9" s="525"/>
      <c r="L9" s="525"/>
      <c r="M9" s="523"/>
      <c r="N9" s="523"/>
      <c r="O9" s="523"/>
      <c r="P9" s="523"/>
      <c r="Q9" s="523"/>
      <c r="R9" s="523"/>
      <c r="S9" s="523"/>
      <c r="T9" s="523"/>
      <c r="U9" s="523"/>
      <c r="V9" s="523"/>
      <c r="W9" s="523"/>
      <c r="X9" s="523"/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  <c r="AK9" s="523"/>
      <c r="AL9" s="523"/>
      <c r="AM9" s="523"/>
      <c r="AN9" s="523"/>
      <c r="AO9" s="523"/>
      <c r="AP9" s="523"/>
      <c r="AQ9" s="523"/>
      <c r="AR9" s="523"/>
      <c r="AS9" s="523"/>
      <c r="AT9" s="523"/>
      <c r="AU9" s="523"/>
      <c r="AV9" s="523"/>
      <c r="AW9" s="523"/>
      <c r="AX9" s="523"/>
      <c r="AY9" s="523"/>
      <c r="AZ9" s="523"/>
      <c r="BA9" s="523"/>
      <c r="BB9" s="523"/>
      <c r="BC9" s="523"/>
      <c r="BD9" s="523"/>
      <c r="BE9" s="523"/>
      <c r="BF9" s="523"/>
      <c r="BG9" s="523"/>
      <c r="BH9" s="523"/>
      <c r="BI9" s="523"/>
      <c r="BJ9" s="523"/>
      <c r="BK9" s="523"/>
      <c r="BL9" s="523"/>
      <c r="BM9" s="523"/>
      <c r="BN9" s="523"/>
      <c r="BO9" s="523"/>
      <c r="BP9" s="523"/>
      <c r="BQ9" s="523"/>
      <c r="BR9" s="523"/>
      <c r="BS9" s="523"/>
      <c r="BT9" s="523"/>
      <c r="BU9" s="523"/>
      <c r="BV9" s="523"/>
      <c r="BW9" s="523"/>
      <c r="BX9" s="523"/>
      <c r="BY9" s="523"/>
      <c r="BZ9" s="523"/>
      <c r="CA9" s="523"/>
      <c r="CB9" s="523"/>
      <c r="CC9" s="523"/>
      <c r="CD9" s="523"/>
      <c r="CE9" s="523"/>
      <c r="CF9" s="523"/>
      <c r="CG9" s="523"/>
      <c r="CH9" s="523"/>
      <c r="CI9" s="523"/>
      <c r="CJ9" s="523"/>
      <c r="CK9" s="523"/>
      <c r="CL9" s="523"/>
      <c r="CM9" s="523"/>
      <c r="CN9" s="523"/>
      <c r="CO9" s="523"/>
      <c r="CP9" s="523"/>
      <c r="CQ9" s="523"/>
      <c r="CR9" s="523"/>
      <c r="CS9" s="523"/>
      <c r="CT9" s="523"/>
      <c r="CU9" s="523"/>
      <c r="CV9" s="523"/>
      <c r="CW9" s="523"/>
      <c r="CX9" s="523"/>
      <c r="CY9" s="523"/>
      <c r="CZ9" s="523"/>
      <c r="DA9" s="523"/>
      <c r="DB9" s="523"/>
      <c r="DC9" s="523"/>
      <c r="DD9" s="523"/>
      <c r="DE9" s="523"/>
      <c r="DF9" s="523"/>
      <c r="DG9" s="523"/>
      <c r="DH9" s="523"/>
      <c r="DI9" s="523"/>
      <c r="DJ9" s="523"/>
      <c r="DK9" s="523"/>
      <c r="DL9" s="523"/>
      <c r="DM9" s="523"/>
      <c r="DN9" s="523"/>
      <c r="DO9" s="523"/>
      <c r="DP9" s="523"/>
      <c r="DQ9" s="523"/>
      <c r="DR9" s="523"/>
      <c r="DS9" s="523"/>
      <c r="DT9" s="523"/>
      <c r="DU9" s="523"/>
      <c r="DV9" s="523"/>
      <c r="DW9" s="523"/>
      <c r="DX9" s="523"/>
      <c r="DY9" s="523"/>
      <c r="DZ9" s="523"/>
      <c r="EA9" s="523"/>
      <c r="EB9" s="523"/>
      <c r="EC9" s="523"/>
      <c r="ED9" s="523"/>
      <c r="EE9" s="523"/>
      <c r="EF9" s="523"/>
      <c r="EG9" s="523"/>
    </row>
    <row r="10" spans="1:137" s="542" customFormat="1" ht="13.2">
      <c r="A10" s="543" t="s">
        <v>11</v>
      </c>
      <c r="B10" s="544" t="s">
        <v>12</v>
      </c>
      <c r="C10" s="545"/>
      <c r="D10" s="545"/>
      <c r="E10" s="545"/>
      <c r="F10" s="972" t="s">
        <v>530</v>
      </c>
      <c r="G10" s="523"/>
      <c r="H10" s="525"/>
      <c r="I10" s="567"/>
      <c r="J10" s="525"/>
      <c r="K10" s="525"/>
      <c r="L10" s="525"/>
      <c r="M10" s="523"/>
      <c r="N10" s="523"/>
      <c r="O10" s="523"/>
      <c r="P10" s="523"/>
      <c r="Q10" s="523"/>
      <c r="R10" s="523"/>
      <c r="S10" s="523"/>
      <c r="T10" s="523"/>
      <c r="U10" s="523"/>
      <c r="V10" s="523"/>
      <c r="W10" s="523"/>
      <c r="X10" s="523"/>
      <c r="Y10" s="523"/>
      <c r="Z10" s="523"/>
      <c r="AA10" s="523"/>
      <c r="AB10" s="523"/>
      <c r="AC10" s="523"/>
      <c r="AD10" s="523"/>
      <c r="AE10" s="523"/>
      <c r="AF10" s="523"/>
      <c r="AG10" s="523"/>
      <c r="AH10" s="523"/>
      <c r="AI10" s="523"/>
      <c r="AJ10" s="523"/>
      <c r="AK10" s="523"/>
      <c r="AL10" s="523"/>
      <c r="AM10" s="523"/>
      <c r="AN10" s="523"/>
      <c r="AO10" s="523"/>
      <c r="AP10" s="523"/>
      <c r="AQ10" s="523"/>
      <c r="AR10" s="523"/>
      <c r="AS10" s="523"/>
      <c r="AT10" s="523"/>
      <c r="AU10" s="523"/>
      <c r="AV10" s="523"/>
      <c r="AW10" s="523"/>
      <c r="AX10" s="523"/>
      <c r="AY10" s="523"/>
      <c r="AZ10" s="523"/>
      <c r="BA10" s="523"/>
      <c r="BB10" s="523"/>
      <c r="BC10" s="523"/>
      <c r="BD10" s="523"/>
      <c r="BE10" s="523"/>
      <c r="BF10" s="523"/>
      <c r="BG10" s="523"/>
      <c r="BH10" s="523"/>
      <c r="BI10" s="523"/>
      <c r="BJ10" s="523"/>
      <c r="BK10" s="523"/>
      <c r="BL10" s="523"/>
      <c r="BM10" s="523"/>
      <c r="BN10" s="523"/>
      <c r="BO10" s="523"/>
      <c r="BP10" s="523"/>
      <c r="BQ10" s="523"/>
      <c r="BR10" s="523"/>
      <c r="BS10" s="523"/>
      <c r="BT10" s="523"/>
      <c r="BU10" s="523"/>
      <c r="BV10" s="523"/>
      <c r="BW10" s="523"/>
      <c r="BX10" s="523"/>
      <c r="BY10" s="523"/>
      <c r="BZ10" s="523"/>
      <c r="CA10" s="523"/>
      <c r="CB10" s="523"/>
      <c r="CC10" s="523"/>
      <c r="CD10" s="523"/>
      <c r="CE10" s="523"/>
      <c r="CF10" s="523"/>
      <c r="CG10" s="523"/>
      <c r="CH10" s="523"/>
      <c r="CI10" s="523"/>
      <c r="CJ10" s="523"/>
      <c r="CK10" s="523"/>
      <c r="CL10" s="523"/>
      <c r="CM10" s="523"/>
      <c r="CN10" s="523"/>
      <c r="CO10" s="523"/>
      <c r="CP10" s="523"/>
      <c r="CQ10" s="523"/>
      <c r="CR10" s="523"/>
      <c r="CS10" s="523"/>
      <c r="CT10" s="523"/>
      <c r="CU10" s="523"/>
      <c r="CV10" s="523"/>
      <c r="CW10" s="523"/>
      <c r="CX10" s="523"/>
      <c r="CY10" s="523"/>
      <c r="CZ10" s="523"/>
      <c r="DA10" s="523"/>
      <c r="DB10" s="523"/>
      <c r="DC10" s="523"/>
      <c r="DD10" s="523"/>
      <c r="DE10" s="523"/>
      <c r="DF10" s="523"/>
      <c r="DG10" s="523"/>
      <c r="DH10" s="523"/>
      <c r="DI10" s="523"/>
      <c r="DJ10" s="523"/>
      <c r="DK10" s="523"/>
      <c r="DL10" s="523"/>
      <c r="DM10" s="523"/>
      <c r="DN10" s="523"/>
      <c r="DO10" s="523"/>
      <c r="DP10" s="523"/>
      <c r="DQ10" s="523"/>
      <c r="DR10" s="523"/>
      <c r="DS10" s="523"/>
      <c r="DT10" s="523"/>
      <c r="DU10" s="523"/>
      <c r="DV10" s="523"/>
      <c r="DW10" s="523"/>
      <c r="DX10" s="523"/>
      <c r="DY10" s="523"/>
      <c r="DZ10" s="523"/>
      <c r="EA10" s="523"/>
      <c r="EB10" s="523"/>
      <c r="EC10" s="523"/>
      <c r="ED10" s="523"/>
      <c r="EE10" s="523"/>
      <c r="EF10" s="523"/>
      <c r="EG10" s="523"/>
    </row>
    <row r="11" spans="1:137" s="542" customFormat="1" ht="13.2">
      <c r="A11" s="543" t="s">
        <v>13</v>
      </c>
      <c r="B11" s="544" t="s">
        <v>14</v>
      </c>
      <c r="C11" s="545"/>
      <c r="D11" s="545"/>
      <c r="E11" s="545"/>
      <c r="F11" s="972"/>
      <c r="G11" s="523"/>
      <c r="H11" s="525"/>
      <c r="I11" s="567"/>
      <c r="J11" s="525"/>
      <c r="K11" s="525"/>
      <c r="L11" s="525"/>
      <c r="M11" s="523"/>
      <c r="N11" s="523"/>
      <c r="O11" s="523"/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  <c r="DT11" s="523"/>
      <c r="DU11" s="523"/>
      <c r="DV11" s="523"/>
      <c r="DW11" s="523"/>
      <c r="DX11" s="523"/>
      <c r="DY11" s="523"/>
      <c r="DZ11" s="523"/>
      <c r="EA11" s="523"/>
      <c r="EB11" s="523"/>
      <c r="EC11" s="523"/>
      <c r="ED11" s="523"/>
      <c r="EE11" s="523"/>
      <c r="EF11" s="523"/>
      <c r="EG11" s="523"/>
    </row>
    <row r="12" spans="1:137" s="542" customFormat="1" ht="13.2">
      <c r="A12" s="543" t="s">
        <v>15</v>
      </c>
      <c r="B12" s="544" t="s">
        <v>16</v>
      </c>
      <c r="C12" s="545"/>
      <c r="D12" s="545"/>
      <c r="E12" s="545"/>
      <c r="F12" s="972"/>
      <c r="G12" s="523"/>
      <c r="H12" s="525"/>
      <c r="I12" s="567"/>
      <c r="J12" s="525"/>
      <c r="K12" s="525"/>
      <c r="L12" s="525"/>
      <c r="M12" s="523"/>
      <c r="N12" s="523"/>
      <c r="O12" s="523"/>
      <c r="P12" s="523"/>
      <c r="Q12" s="523"/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523"/>
      <c r="AW12" s="523"/>
      <c r="AX12" s="523"/>
      <c r="AY12" s="523"/>
      <c r="AZ12" s="523"/>
      <c r="BA12" s="523"/>
      <c r="BB12" s="523"/>
      <c r="BC12" s="523"/>
      <c r="BD12" s="523"/>
      <c r="BE12" s="523"/>
      <c r="BF12" s="523"/>
      <c r="BG12" s="523"/>
      <c r="BH12" s="523"/>
      <c r="BI12" s="523"/>
      <c r="BJ12" s="523"/>
      <c r="BK12" s="523"/>
      <c r="BL12" s="523"/>
      <c r="BM12" s="523"/>
      <c r="BN12" s="523"/>
      <c r="BO12" s="523"/>
      <c r="BP12" s="523"/>
      <c r="BQ12" s="523"/>
      <c r="BR12" s="523"/>
      <c r="BS12" s="523"/>
      <c r="BT12" s="523"/>
      <c r="BU12" s="523"/>
      <c r="BV12" s="523"/>
      <c r="BW12" s="523"/>
      <c r="BX12" s="523"/>
      <c r="BY12" s="523"/>
      <c r="BZ12" s="523"/>
      <c r="CA12" s="523"/>
      <c r="CB12" s="523"/>
      <c r="CC12" s="523"/>
      <c r="CD12" s="523"/>
      <c r="CE12" s="523"/>
      <c r="CF12" s="523"/>
      <c r="CG12" s="523"/>
      <c r="CH12" s="523"/>
      <c r="CI12" s="523"/>
      <c r="CJ12" s="523"/>
      <c r="CK12" s="523"/>
      <c r="CL12" s="523"/>
      <c r="CM12" s="523"/>
      <c r="CN12" s="523"/>
      <c r="CO12" s="523"/>
      <c r="CP12" s="523"/>
      <c r="CQ12" s="523"/>
      <c r="CR12" s="523"/>
      <c r="CS12" s="523"/>
      <c r="CT12" s="523"/>
      <c r="CU12" s="523"/>
      <c r="CV12" s="523"/>
      <c r="CW12" s="523"/>
      <c r="CX12" s="523"/>
      <c r="CY12" s="523"/>
      <c r="CZ12" s="523"/>
      <c r="DA12" s="523"/>
      <c r="DB12" s="523"/>
      <c r="DC12" s="523"/>
      <c r="DD12" s="523"/>
      <c r="DE12" s="523"/>
      <c r="DF12" s="523"/>
      <c r="DG12" s="523"/>
      <c r="DH12" s="523"/>
      <c r="DI12" s="523"/>
      <c r="DJ12" s="523"/>
      <c r="DK12" s="523"/>
      <c r="DL12" s="523"/>
      <c r="DM12" s="523"/>
      <c r="DN12" s="523"/>
      <c r="DO12" s="523"/>
      <c r="DP12" s="523"/>
      <c r="DQ12" s="523"/>
      <c r="DR12" s="523"/>
      <c r="DS12" s="523"/>
      <c r="DT12" s="523"/>
      <c r="DU12" s="523"/>
      <c r="DV12" s="523"/>
      <c r="DW12" s="523"/>
      <c r="DX12" s="523"/>
      <c r="DY12" s="523"/>
      <c r="DZ12" s="523"/>
      <c r="EA12" s="523"/>
      <c r="EB12" s="523"/>
      <c r="EC12" s="523"/>
      <c r="ED12" s="523"/>
      <c r="EE12" s="523"/>
      <c r="EF12" s="523"/>
      <c r="EG12" s="523"/>
    </row>
    <row r="13" spans="1:137" s="542" customFormat="1" ht="13.2">
      <c r="A13" s="543" t="s">
        <v>17</v>
      </c>
      <c r="B13" s="544" t="s">
        <v>18</v>
      </c>
      <c r="C13" s="545"/>
      <c r="D13" s="545"/>
      <c r="E13" s="545"/>
      <c r="F13" s="972"/>
      <c r="G13" s="523"/>
      <c r="H13" s="525"/>
      <c r="I13" s="567"/>
      <c r="J13" s="525"/>
      <c r="K13" s="525"/>
      <c r="L13" s="525"/>
      <c r="M13" s="523"/>
      <c r="N13" s="523"/>
      <c r="O13" s="523"/>
      <c r="P13" s="523"/>
      <c r="Q13" s="523"/>
      <c r="R13" s="523"/>
      <c r="S13" s="523"/>
      <c r="T13" s="523"/>
      <c r="U13" s="523"/>
      <c r="V13" s="523"/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23"/>
      <c r="AW13" s="523"/>
      <c r="AX13" s="523"/>
      <c r="AY13" s="523"/>
      <c r="AZ13" s="523"/>
      <c r="BA13" s="523"/>
      <c r="BB13" s="523"/>
      <c r="BC13" s="523"/>
      <c r="BD13" s="523"/>
      <c r="BE13" s="523"/>
      <c r="BF13" s="523"/>
      <c r="BG13" s="523"/>
      <c r="BH13" s="523"/>
      <c r="BI13" s="523"/>
      <c r="BJ13" s="523"/>
      <c r="BK13" s="523"/>
      <c r="BL13" s="523"/>
      <c r="BM13" s="523"/>
      <c r="BN13" s="523"/>
      <c r="BO13" s="523"/>
      <c r="BP13" s="523"/>
      <c r="BQ13" s="523"/>
      <c r="BR13" s="523"/>
      <c r="BS13" s="523"/>
      <c r="BT13" s="523"/>
      <c r="BU13" s="523"/>
      <c r="BV13" s="523"/>
      <c r="BW13" s="523"/>
      <c r="BX13" s="523"/>
      <c r="BY13" s="523"/>
      <c r="BZ13" s="523"/>
      <c r="CA13" s="523"/>
      <c r="CB13" s="523"/>
      <c r="CC13" s="523"/>
      <c r="CD13" s="523"/>
      <c r="CE13" s="523"/>
      <c r="CF13" s="523"/>
      <c r="CG13" s="523"/>
      <c r="CH13" s="523"/>
      <c r="CI13" s="523"/>
      <c r="CJ13" s="523"/>
      <c r="CK13" s="523"/>
      <c r="CL13" s="523"/>
      <c r="CM13" s="523"/>
      <c r="CN13" s="523"/>
      <c r="CO13" s="523"/>
      <c r="CP13" s="523"/>
      <c r="CQ13" s="523"/>
      <c r="CR13" s="523"/>
      <c r="CS13" s="523"/>
      <c r="CT13" s="523"/>
      <c r="CU13" s="523"/>
      <c r="CV13" s="523"/>
      <c r="CW13" s="523"/>
      <c r="CX13" s="523"/>
      <c r="CY13" s="523"/>
      <c r="CZ13" s="523"/>
      <c r="DA13" s="523"/>
      <c r="DB13" s="523"/>
      <c r="DC13" s="523"/>
      <c r="DD13" s="523"/>
      <c r="DE13" s="523"/>
      <c r="DF13" s="523"/>
      <c r="DG13" s="523"/>
      <c r="DH13" s="523"/>
      <c r="DI13" s="523"/>
      <c r="DJ13" s="523"/>
      <c r="DK13" s="523"/>
      <c r="DL13" s="523"/>
      <c r="DM13" s="523"/>
      <c r="DN13" s="523"/>
      <c r="DO13" s="523"/>
      <c r="DP13" s="523"/>
      <c r="DQ13" s="523"/>
      <c r="DR13" s="523"/>
      <c r="DS13" s="523"/>
      <c r="DT13" s="523"/>
      <c r="DU13" s="523"/>
      <c r="DV13" s="523"/>
      <c r="DW13" s="523"/>
      <c r="DX13" s="523"/>
      <c r="DY13" s="523"/>
      <c r="DZ13" s="523"/>
      <c r="EA13" s="523"/>
      <c r="EB13" s="523"/>
      <c r="EC13" s="523"/>
      <c r="ED13" s="523"/>
      <c r="EE13" s="523"/>
      <c r="EF13" s="523"/>
      <c r="EG13" s="523"/>
    </row>
    <row r="14" spans="1:137" s="542" customFormat="1" ht="13.2">
      <c r="A14" s="543" t="s">
        <v>19</v>
      </c>
      <c r="B14" s="544" t="s">
        <v>20</v>
      </c>
      <c r="C14" s="545"/>
      <c r="D14" s="545"/>
      <c r="E14" s="545"/>
      <c r="F14" s="972">
        <v>0</v>
      </c>
      <c r="G14" s="523"/>
      <c r="H14" s="525"/>
      <c r="I14" s="567"/>
      <c r="J14" s="525"/>
      <c r="K14" s="525"/>
      <c r="L14" s="525"/>
      <c r="M14" s="523"/>
      <c r="N14" s="523"/>
      <c r="O14" s="523"/>
      <c r="P14" s="523"/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23"/>
      <c r="AV14" s="523"/>
      <c r="AW14" s="523"/>
      <c r="AX14" s="523"/>
      <c r="AY14" s="523"/>
      <c r="AZ14" s="523"/>
      <c r="BA14" s="523"/>
      <c r="BB14" s="523"/>
      <c r="BC14" s="523"/>
      <c r="BD14" s="523"/>
      <c r="BE14" s="523"/>
      <c r="BF14" s="523"/>
      <c r="BG14" s="523"/>
      <c r="BH14" s="523"/>
      <c r="BI14" s="523"/>
      <c r="BJ14" s="523"/>
      <c r="BK14" s="523"/>
      <c r="BL14" s="523"/>
      <c r="BM14" s="523"/>
      <c r="BN14" s="523"/>
      <c r="BO14" s="523"/>
      <c r="BP14" s="523"/>
      <c r="BQ14" s="523"/>
      <c r="BR14" s="523"/>
      <c r="BS14" s="523"/>
      <c r="BT14" s="523"/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/>
      <c r="CJ14" s="523"/>
      <c r="CK14" s="523"/>
      <c r="CL14" s="523"/>
      <c r="CM14" s="523"/>
      <c r="CN14" s="523"/>
      <c r="CO14" s="523"/>
      <c r="CP14" s="523"/>
      <c r="CQ14" s="523"/>
      <c r="CR14" s="523"/>
      <c r="CS14" s="523"/>
      <c r="CT14" s="523"/>
      <c r="CU14" s="523"/>
      <c r="CV14" s="523"/>
      <c r="CW14" s="523"/>
      <c r="CX14" s="523"/>
      <c r="CY14" s="523"/>
      <c r="CZ14" s="523"/>
      <c r="DA14" s="523"/>
      <c r="DB14" s="523"/>
      <c r="DC14" s="523"/>
      <c r="DD14" s="523"/>
      <c r="DE14" s="523"/>
      <c r="DF14" s="523"/>
      <c r="DG14" s="523"/>
      <c r="DH14" s="523"/>
      <c r="DI14" s="523"/>
      <c r="DJ14" s="523"/>
      <c r="DK14" s="523"/>
      <c r="DL14" s="523"/>
      <c r="DM14" s="523"/>
      <c r="DN14" s="523"/>
      <c r="DO14" s="523"/>
      <c r="DP14" s="523"/>
      <c r="DQ14" s="523"/>
      <c r="DR14" s="523"/>
      <c r="DS14" s="523"/>
      <c r="DT14" s="523"/>
      <c r="DU14" s="523"/>
      <c r="DV14" s="523"/>
      <c r="DW14" s="523"/>
      <c r="DX14" s="523"/>
      <c r="DY14" s="523"/>
      <c r="DZ14" s="523"/>
      <c r="EA14" s="523"/>
      <c r="EB14" s="523"/>
      <c r="EC14" s="523"/>
      <c r="ED14" s="523"/>
      <c r="EE14" s="523"/>
      <c r="EF14" s="523"/>
      <c r="EG14" s="523"/>
    </row>
    <row r="15" spans="1:137" s="542" customFormat="1" ht="13.2">
      <c r="A15" s="543" t="s">
        <v>21</v>
      </c>
      <c r="B15" s="544" t="s">
        <v>22</v>
      </c>
      <c r="C15" s="545">
        <v>21</v>
      </c>
      <c r="D15" s="545"/>
      <c r="E15" s="545">
        <f>C15-D15</f>
        <v>21</v>
      </c>
      <c r="F15" s="972">
        <f t="shared" ref="F15:F60" si="0">E15/C15</f>
        <v>1</v>
      </c>
      <c r="G15" s="523"/>
      <c r="H15" s="525"/>
      <c r="I15" s="567"/>
      <c r="J15" s="525"/>
      <c r="K15" s="525"/>
      <c r="L15" s="683"/>
      <c r="M15" s="683"/>
      <c r="N15" s="683">
        <v>21</v>
      </c>
      <c r="O15" s="684"/>
    </row>
    <row r="16" spans="1:137" s="542" customFormat="1" ht="13.2">
      <c r="A16" s="543" t="s">
        <v>23</v>
      </c>
      <c r="B16" s="544" t="s">
        <v>24</v>
      </c>
      <c r="C16" s="545">
        <v>3</v>
      </c>
      <c r="D16" s="545">
        <v>1</v>
      </c>
      <c r="E16" s="545">
        <f t="shared" ref="E16:E60" si="1">C16-D16</f>
        <v>2</v>
      </c>
      <c r="F16" s="972">
        <f t="shared" si="0"/>
        <v>0.66666666666666663</v>
      </c>
      <c r="G16" s="523"/>
      <c r="H16" s="525"/>
      <c r="I16" s="567"/>
      <c r="J16" s="525"/>
      <c r="K16" s="525"/>
      <c r="L16" s="683"/>
      <c r="M16" s="683"/>
      <c r="N16" s="683">
        <v>3</v>
      </c>
      <c r="O16" s="684"/>
    </row>
    <row r="17" spans="1:18" s="542" customFormat="1" ht="13.2">
      <c r="A17" s="543" t="s">
        <v>25</v>
      </c>
      <c r="B17" s="544" t="s">
        <v>26</v>
      </c>
      <c r="C17" s="545">
        <v>17</v>
      </c>
      <c r="D17" s="545"/>
      <c r="E17" s="545">
        <f t="shared" si="1"/>
        <v>17</v>
      </c>
      <c r="F17" s="972">
        <f t="shared" si="0"/>
        <v>1</v>
      </c>
      <c r="G17" s="566"/>
      <c r="H17" s="525"/>
      <c r="I17" s="567"/>
      <c r="J17" s="525"/>
      <c r="K17" s="525"/>
      <c r="L17" s="683"/>
      <c r="M17" s="683"/>
      <c r="N17" s="683">
        <v>17</v>
      </c>
      <c r="O17" s="684"/>
    </row>
    <row r="18" spans="1:18" s="542" customFormat="1" ht="13.2">
      <c r="A18" s="543" t="s">
        <v>27</v>
      </c>
      <c r="B18" s="544" t="s">
        <v>28</v>
      </c>
      <c r="C18" s="545">
        <v>2</v>
      </c>
      <c r="D18" s="545"/>
      <c r="E18" s="545">
        <f t="shared" si="1"/>
        <v>2</v>
      </c>
      <c r="F18" s="972">
        <f t="shared" si="0"/>
        <v>1</v>
      </c>
      <c r="G18" s="566"/>
      <c r="H18" s="525"/>
      <c r="I18" s="567"/>
      <c r="J18" s="525"/>
      <c r="K18" s="525"/>
      <c r="L18" s="683"/>
      <c r="M18" s="683"/>
      <c r="N18" s="683">
        <v>2</v>
      </c>
      <c r="O18" s="684"/>
    </row>
    <row r="19" spans="1:18" s="542" customFormat="1" ht="13.2">
      <c r="A19" s="543" t="s">
        <v>29</v>
      </c>
      <c r="B19" s="544" t="s">
        <v>30</v>
      </c>
      <c r="C19" s="545">
        <v>24</v>
      </c>
      <c r="D19" s="545">
        <v>5</v>
      </c>
      <c r="E19" s="545">
        <f t="shared" si="1"/>
        <v>19</v>
      </c>
      <c r="F19" s="972">
        <f t="shared" si="0"/>
        <v>0.79166666666666663</v>
      </c>
      <c r="G19" s="566"/>
      <c r="H19" s="525"/>
      <c r="I19" s="567"/>
      <c r="J19" s="525"/>
      <c r="K19" s="525"/>
      <c r="L19" s="683"/>
      <c r="M19" s="683"/>
      <c r="N19" s="683">
        <v>24</v>
      </c>
      <c r="O19" s="684"/>
    </row>
    <row r="20" spans="1:18" s="542" customFormat="1" ht="13.2">
      <c r="A20" s="543" t="s">
        <v>31</v>
      </c>
      <c r="B20" s="544" t="s">
        <v>32</v>
      </c>
      <c r="C20" s="545">
        <v>4</v>
      </c>
      <c r="D20" s="545"/>
      <c r="E20" s="545">
        <f t="shared" si="1"/>
        <v>4</v>
      </c>
      <c r="F20" s="972">
        <f t="shared" si="0"/>
        <v>1</v>
      </c>
      <c r="G20" s="566"/>
      <c r="H20" s="525"/>
      <c r="I20" s="567"/>
      <c r="J20" s="525"/>
      <c r="K20" s="525"/>
      <c r="L20" s="683"/>
      <c r="M20" s="683"/>
      <c r="N20" s="683">
        <v>4</v>
      </c>
      <c r="O20" s="684"/>
    </row>
    <row r="21" spans="1:18" s="542" customFormat="1" ht="24">
      <c r="A21" s="543" t="s">
        <v>35</v>
      </c>
      <c r="B21" s="546" t="s">
        <v>36</v>
      </c>
      <c r="C21" s="545">
        <v>18</v>
      </c>
      <c r="D21" s="545">
        <v>2</v>
      </c>
      <c r="E21" s="545">
        <f t="shared" si="1"/>
        <v>16</v>
      </c>
      <c r="F21" s="972">
        <f t="shared" si="0"/>
        <v>0.88888888888888884</v>
      </c>
      <c r="G21" s="566"/>
      <c r="H21" s="525"/>
      <c r="I21" s="567"/>
      <c r="J21" s="525"/>
      <c r="K21" s="525"/>
      <c r="L21" s="683"/>
      <c r="M21" s="683"/>
      <c r="N21" s="683">
        <v>18</v>
      </c>
      <c r="O21" s="684"/>
    </row>
    <row r="22" spans="1:18" s="542" customFormat="1" ht="24">
      <c r="A22" s="543" t="s">
        <v>37</v>
      </c>
      <c r="B22" s="546" t="s">
        <v>122</v>
      </c>
      <c r="C22" s="545">
        <v>8</v>
      </c>
      <c r="D22" s="545">
        <v>3</v>
      </c>
      <c r="E22" s="545">
        <f t="shared" si="1"/>
        <v>5</v>
      </c>
      <c r="F22" s="972">
        <f t="shared" si="0"/>
        <v>0.625</v>
      </c>
      <c r="G22" s="566"/>
      <c r="H22" s="525"/>
      <c r="I22" s="567"/>
      <c r="J22" s="525"/>
      <c r="K22" s="525"/>
      <c r="L22" s="683"/>
      <c r="M22" s="683"/>
      <c r="N22" s="683">
        <v>8</v>
      </c>
      <c r="O22" s="684"/>
    </row>
    <row r="23" spans="1:18" s="542" customFormat="1" ht="13.2">
      <c r="A23" s="543" t="s">
        <v>38</v>
      </c>
      <c r="B23" s="544" t="s">
        <v>39</v>
      </c>
      <c r="C23" s="545">
        <v>32</v>
      </c>
      <c r="D23" s="545">
        <v>8</v>
      </c>
      <c r="E23" s="545">
        <f t="shared" si="1"/>
        <v>24</v>
      </c>
      <c r="F23" s="972">
        <f t="shared" si="0"/>
        <v>0.75</v>
      </c>
      <c r="G23" s="566"/>
      <c r="H23" s="525"/>
      <c r="I23" s="567"/>
      <c r="J23" s="525"/>
      <c r="K23" s="525"/>
      <c r="L23" s="683"/>
      <c r="M23" s="683"/>
      <c r="N23" s="683">
        <v>32</v>
      </c>
      <c r="O23" s="684"/>
    </row>
    <row r="24" spans="1:18" s="542" customFormat="1" ht="13.2">
      <c r="A24" s="543" t="s">
        <v>40</v>
      </c>
      <c r="B24" s="544" t="s">
        <v>41</v>
      </c>
      <c r="C24" s="545">
        <v>12</v>
      </c>
      <c r="D24" s="545">
        <v>1</v>
      </c>
      <c r="E24" s="545">
        <f t="shared" si="1"/>
        <v>11</v>
      </c>
      <c r="F24" s="972">
        <f t="shared" si="0"/>
        <v>0.91666666666666663</v>
      </c>
      <c r="G24" s="566"/>
      <c r="H24" s="525"/>
      <c r="I24" s="567"/>
      <c r="J24" s="525"/>
      <c r="K24" s="525"/>
      <c r="L24" s="683"/>
      <c r="M24" s="683"/>
      <c r="N24" s="683">
        <v>12</v>
      </c>
      <c r="O24" s="684"/>
    </row>
    <row r="25" spans="1:18" s="542" customFormat="1" ht="36">
      <c r="A25" s="543" t="s">
        <v>42</v>
      </c>
      <c r="B25" s="546" t="s">
        <v>230</v>
      </c>
      <c r="C25" s="545">
        <v>17</v>
      </c>
      <c r="D25" s="545">
        <v>2</v>
      </c>
      <c r="E25" s="545">
        <f t="shared" si="1"/>
        <v>15</v>
      </c>
      <c r="F25" s="972">
        <f t="shared" si="0"/>
        <v>0.88235294117647056</v>
      </c>
      <c r="G25" s="566"/>
      <c r="H25" s="525"/>
      <c r="I25" s="567"/>
      <c r="J25" s="525"/>
      <c r="K25" s="525"/>
      <c r="L25" s="683"/>
      <c r="M25" s="683"/>
      <c r="N25" s="683">
        <v>17</v>
      </c>
      <c r="O25" s="684"/>
    </row>
    <row r="26" spans="1:18" s="542" customFormat="1" ht="13.2">
      <c r="A26" s="543" t="s">
        <v>43</v>
      </c>
      <c r="B26" s="544" t="s">
        <v>44</v>
      </c>
      <c r="C26" s="545">
        <v>16</v>
      </c>
      <c r="D26" s="545">
        <v>1</v>
      </c>
      <c r="E26" s="545">
        <f t="shared" si="1"/>
        <v>15</v>
      </c>
      <c r="F26" s="972">
        <f t="shared" si="0"/>
        <v>0.9375</v>
      </c>
      <c r="G26" s="566"/>
      <c r="H26" s="525"/>
      <c r="I26" s="567"/>
      <c r="J26" s="525"/>
      <c r="K26" s="525"/>
      <c r="L26" s="683"/>
      <c r="M26" s="683"/>
      <c r="N26" s="683">
        <v>16</v>
      </c>
      <c r="O26" s="684"/>
    </row>
    <row r="27" spans="1:18" s="542" customFormat="1" ht="13.2">
      <c r="A27" s="543" t="s">
        <v>45</v>
      </c>
      <c r="B27" s="544" t="s">
        <v>320</v>
      </c>
      <c r="C27" s="545">
        <v>6</v>
      </c>
      <c r="D27" s="545"/>
      <c r="E27" s="545">
        <f t="shared" si="1"/>
        <v>6</v>
      </c>
      <c r="F27" s="972">
        <f t="shared" si="0"/>
        <v>1</v>
      </c>
      <c r="G27" s="566"/>
      <c r="H27" s="525"/>
      <c r="I27" s="567"/>
      <c r="J27" s="525"/>
      <c r="K27" s="525"/>
      <c r="L27" s="683"/>
      <c r="M27" s="683"/>
      <c r="N27" s="683">
        <v>6</v>
      </c>
      <c r="O27" s="684"/>
    </row>
    <row r="28" spans="1:18" s="542" customFormat="1" ht="24">
      <c r="A28" s="543" t="s">
        <v>46</v>
      </c>
      <c r="B28" s="546" t="s">
        <v>231</v>
      </c>
      <c r="C28" s="545">
        <v>14</v>
      </c>
      <c r="D28" s="545">
        <v>3</v>
      </c>
      <c r="E28" s="545">
        <f t="shared" si="1"/>
        <v>11</v>
      </c>
      <c r="F28" s="972">
        <f t="shared" si="0"/>
        <v>0.7857142857142857</v>
      </c>
      <c r="G28" s="566"/>
      <c r="H28" s="525"/>
      <c r="I28" s="567"/>
      <c r="J28" s="525"/>
      <c r="K28" s="525"/>
      <c r="L28" s="683"/>
      <c r="M28" s="683"/>
      <c r="N28" s="683">
        <v>14</v>
      </c>
      <c r="O28" s="684"/>
      <c r="R28" s="1756">
        <f>38/275</f>
        <v>0.13818181818181818</v>
      </c>
    </row>
    <row r="29" spans="1:18" s="542" customFormat="1" ht="26.4">
      <c r="A29" s="543">
        <v>22</v>
      </c>
      <c r="B29" s="220" t="s">
        <v>232</v>
      </c>
      <c r="C29" s="545">
        <v>16</v>
      </c>
      <c r="D29" s="1958"/>
      <c r="E29" s="545">
        <v>16</v>
      </c>
      <c r="F29" s="972">
        <f>E29/C29</f>
        <v>1</v>
      </c>
      <c r="G29" s="566"/>
      <c r="H29" s="525"/>
      <c r="I29" s="567"/>
      <c r="J29" s="525"/>
      <c r="K29" s="525"/>
      <c r="L29" s="683"/>
      <c r="M29" s="683"/>
      <c r="N29" s="683">
        <v>16</v>
      </c>
      <c r="O29" s="684"/>
    </row>
    <row r="30" spans="1:18" s="542" customFormat="1" ht="13.2">
      <c r="A30" s="543" t="s">
        <v>48</v>
      </c>
      <c r="B30" s="544" t="s">
        <v>49</v>
      </c>
      <c r="C30" s="545">
        <v>10</v>
      </c>
      <c r="D30" s="545">
        <v>1</v>
      </c>
      <c r="E30" s="545">
        <f t="shared" si="1"/>
        <v>9</v>
      </c>
      <c r="F30" s="972">
        <f t="shared" si="0"/>
        <v>0.9</v>
      </c>
      <c r="G30" s="566"/>
      <c r="H30" s="525"/>
      <c r="I30" s="567"/>
      <c r="J30" s="525"/>
      <c r="K30" s="525"/>
      <c r="L30" s="683"/>
      <c r="M30" s="683"/>
      <c r="N30" s="683">
        <v>10</v>
      </c>
      <c r="O30" s="684"/>
    </row>
    <row r="31" spans="1:18" s="542" customFormat="1" ht="13.2">
      <c r="A31" s="543" t="s">
        <v>50</v>
      </c>
      <c r="B31" s="544" t="s">
        <v>51</v>
      </c>
      <c r="C31" s="545">
        <v>8</v>
      </c>
      <c r="D31" s="545">
        <v>1</v>
      </c>
      <c r="E31" s="545">
        <f t="shared" si="1"/>
        <v>7</v>
      </c>
      <c r="F31" s="972">
        <f t="shared" si="0"/>
        <v>0.875</v>
      </c>
      <c r="G31" s="566"/>
      <c r="H31" s="525"/>
      <c r="I31" s="567"/>
      <c r="J31" s="525"/>
      <c r="K31" s="525"/>
      <c r="L31" s="683"/>
      <c r="M31" s="683"/>
      <c r="N31" s="683">
        <v>8</v>
      </c>
      <c r="O31" s="684"/>
    </row>
    <row r="32" spans="1:18" s="542" customFormat="1" ht="13.2">
      <c r="A32" s="543" t="s">
        <v>52</v>
      </c>
      <c r="B32" s="544" t="s">
        <v>53</v>
      </c>
      <c r="C32" s="545">
        <v>11</v>
      </c>
      <c r="D32" s="545"/>
      <c r="E32" s="545">
        <f t="shared" si="1"/>
        <v>11</v>
      </c>
      <c r="F32" s="972">
        <f t="shared" si="0"/>
        <v>1</v>
      </c>
      <c r="G32" s="566"/>
      <c r="H32" s="525"/>
      <c r="I32" s="567"/>
      <c r="J32" s="525"/>
      <c r="K32" s="525"/>
      <c r="L32" s="683"/>
      <c r="M32" s="683"/>
      <c r="N32" s="683">
        <v>19</v>
      </c>
      <c r="O32" s="684"/>
    </row>
    <row r="33" spans="1:17" s="542" customFormat="1" ht="13.2">
      <c r="A33" s="543" t="s">
        <v>54</v>
      </c>
      <c r="B33" s="544" t="s">
        <v>55</v>
      </c>
      <c r="C33" s="545">
        <v>24</v>
      </c>
      <c r="D33" s="545"/>
      <c r="E33" s="545">
        <f t="shared" si="1"/>
        <v>24</v>
      </c>
      <c r="F33" s="972">
        <f t="shared" si="0"/>
        <v>1</v>
      </c>
      <c r="G33" s="566"/>
      <c r="H33" s="525"/>
      <c r="I33" s="567"/>
      <c r="J33" s="525"/>
      <c r="K33" s="525"/>
      <c r="L33" s="683"/>
      <c r="M33" s="683"/>
      <c r="N33" s="683">
        <v>18</v>
      </c>
      <c r="O33" s="684"/>
    </row>
    <row r="34" spans="1:17" s="542" customFormat="1" ht="13.2">
      <c r="A34" s="543" t="s">
        <v>56</v>
      </c>
      <c r="B34" s="544" t="s">
        <v>57</v>
      </c>
      <c r="C34" s="545">
        <v>28</v>
      </c>
      <c r="D34" s="545"/>
      <c r="E34" s="545">
        <f t="shared" si="1"/>
        <v>28</v>
      </c>
      <c r="F34" s="972">
        <f t="shared" si="0"/>
        <v>1</v>
      </c>
      <c r="G34" s="566"/>
      <c r="H34" s="525"/>
      <c r="I34" s="567"/>
      <c r="J34" s="525"/>
      <c r="K34" s="525"/>
      <c r="L34" s="683"/>
      <c r="M34" s="683"/>
      <c r="N34" s="683">
        <v>10</v>
      </c>
      <c r="O34" s="684"/>
    </row>
    <row r="35" spans="1:17" s="542" customFormat="1" ht="13.2">
      <c r="A35" s="543" t="s">
        <v>58</v>
      </c>
      <c r="B35" s="544" t="s">
        <v>59</v>
      </c>
      <c r="C35" s="545">
        <v>9</v>
      </c>
      <c r="D35" s="545"/>
      <c r="E35" s="545">
        <f t="shared" si="1"/>
        <v>9</v>
      </c>
      <c r="F35" s="972">
        <f t="shared" si="0"/>
        <v>1</v>
      </c>
      <c r="G35" s="566"/>
      <c r="H35" s="525"/>
      <c r="I35" s="567"/>
      <c r="J35" s="525"/>
      <c r="K35" s="525"/>
      <c r="L35" s="683"/>
      <c r="M35" s="683"/>
      <c r="N35" s="683"/>
      <c r="O35" s="684"/>
    </row>
    <row r="36" spans="1:17" s="542" customFormat="1" ht="13.2">
      <c r="A36" s="543" t="s">
        <v>60</v>
      </c>
      <c r="B36" s="544" t="s">
        <v>61</v>
      </c>
      <c r="C36" s="545">
        <v>5</v>
      </c>
      <c r="D36" s="545"/>
      <c r="E36" s="545">
        <f t="shared" si="1"/>
        <v>5</v>
      </c>
      <c r="F36" s="972">
        <f t="shared" si="0"/>
        <v>1</v>
      </c>
      <c r="G36" s="566"/>
      <c r="H36" s="525"/>
      <c r="I36" s="567"/>
      <c r="J36" s="525"/>
      <c r="K36" s="525"/>
      <c r="L36" s="683">
        <v>11</v>
      </c>
      <c r="M36" s="683"/>
      <c r="N36" s="683">
        <f>SUM(N15:N35)</f>
        <v>275</v>
      </c>
      <c r="O36" s="684"/>
    </row>
    <row r="37" spans="1:17" s="542" customFormat="1" ht="13.2">
      <c r="A37" s="543" t="s">
        <v>62</v>
      </c>
      <c r="B37" s="544" t="s">
        <v>63</v>
      </c>
      <c r="C37" s="545">
        <v>7</v>
      </c>
      <c r="D37" s="545"/>
      <c r="E37" s="545">
        <f t="shared" si="1"/>
        <v>7</v>
      </c>
      <c r="F37" s="972">
        <f t="shared" si="0"/>
        <v>1</v>
      </c>
      <c r="G37" s="566"/>
      <c r="H37" s="525"/>
      <c r="I37" s="567"/>
      <c r="J37" s="525"/>
      <c r="K37" s="525"/>
      <c r="L37" s="683">
        <v>24</v>
      </c>
      <c r="M37" s="683"/>
      <c r="N37" s="683"/>
      <c r="O37" s="684"/>
    </row>
    <row r="38" spans="1:17" s="542" customFormat="1" ht="13.2">
      <c r="A38" s="543" t="s">
        <v>64</v>
      </c>
      <c r="B38" s="544" t="s">
        <v>65</v>
      </c>
      <c r="C38" s="545">
        <v>12</v>
      </c>
      <c r="D38" s="545"/>
      <c r="E38" s="545">
        <f t="shared" si="1"/>
        <v>12</v>
      </c>
      <c r="F38" s="972">
        <f t="shared" si="0"/>
        <v>1</v>
      </c>
      <c r="G38" s="566"/>
      <c r="H38" s="525"/>
      <c r="I38" s="567"/>
      <c r="J38" s="525"/>
      <c r="K38" s="525"/>
      <c r="L38" s="683">
        <v>28</v>
      </c>
      <c r="M38" s="683"/>
      <c r="N38" s="683"/>
      <c r="O38" s="684"/>
    </row>
    <row r="39" spans="1:17" s="542" customFormat="1" ht="13.2">
      <c r="A39" s="543" t="s">
        <v>66</v>
      </c>
      <c r="B39" s="544" t="s">
        <v>67</v>
      </c>
      <c r="C39" s="545">
        <v>11</v>
      </c>
      <c r="D39" s="545"/>
      <c r="E39" s="545">
        <f t="shared" si="1"/>
        <v>11</v>
      </c>
      <c r="F39" s="972">
        <f t="shared" si="0"/>
        <v>1</v>
      </c>
      <c r="G39" s="566"/>
      <c r="H39" s="525"/>
      <c r="I39" s="567"/>
      <c r="J39" s="525"/>
      <c r="K39" s="525"/>
      <c r="L39" s="683">
        <v>9</v>
      </c>
      <c r="M39" s="683"/>
      <c r="N39" s="683"/>
      <c r="O39" s="684"/>
    </row>
    <row r="40" spans="1:17" s="542" customFormat="1" ht="13.2">
      <c r="A40" s="543" t="s">
        <v>68</v>
      </c>
      <c r="B40" s="544" t="s">
        <v>69</v>
      </c>
      <c r="C40" s="545">
        <v>9</v>
      </c>
      <c r="D40" s="545"/>
      <c r="E40" s="545">
        <f t="shared" si="1"/>
        <v>9</v>
      </c>
      <c r="F40" s="972">
        <f t="shared" si="0"/>
        <v>1</v>
      </c>
      <c r="G40" s="566"/>
      <c r="H40" s="525"/>
      <c r="I40" s="567"/>
      <c r="J40" s="525"/>
      <c r="K40" s="525"/>
      <c r="L40" s="683">
        <v>5</v>
      </c>
      <c r="M40" s="683"/>
      <c r="N40" s="683"/>
      <c r="O40" s="684"/>
    </row>
    <row r="41" spans="1:17" s="542" customFormat="1" ht="13.2">
      <c r="A41" s="543" t="s">
        <v>70</v>
      </c>
      <c r="B41" s="544" t="s">
        <v>71</v>
      </c>
      <c r="C41" s="545">
        <v>5</v>
      </c>
      <c r="D41" s="545"/>
      <c r="E41" s="545">
        <f t="shared" si="1"/>
        <v>5</v>
      </c>
      <c r="F41" s="972">
        <f t="shared" si="0"/>
        <v>1</v>
      </c>
      <c r="G41" s="566"/>
      <c r="H41" s="525"/>
      <c r="I41" s="567"/>
      <c r="J41" s="525"/>
      <c r="K41" s="525"/>
      <c r="L41" s="683">
        <v>7</v>
      </c>
      <c r="M41" s="683"/>
      <c r="N41" s="683"/>
      <c r="O41" s="684"/>
    </row>
    <row r="42" spans="1:17" s="542" customFormat="1" ht="13.2">
      <c r="A42" s="543" t="s">
        <v>72</v>
      </c>
      <c r="B42" s="544" t="s">
        <v>73</v>
      </c>
      <c r="C42" s="545">
        <v>5</v>
      </c>
      <c r="D42" s="545"/>
      <c r="E42" s="545">
        <f t="shared" si="1"/>
        <v>5</v>
      </c>
      <c r="F42" s="972">
        <f t="shared" si="0"/>
        <v>1</v>
      </c>
      <c r="G42" s="566"/>
      <c r="H42" s="525"/>
      <c r="I42" s="567"/>
      <c r="J42" s="525"/>
      <c r="K42" s="525"/>
      <c r="L42" s="683">
        <v>12</v>
      </c>
      <c r="M42" s="683"/>
      <c r="N42" s="683"/>
      <c r="O42" s="684"/>
    </row>
    <row r="43" spans="1:17" s="542" customFormat="1" ht="21" customHeight="1">
      <c r="A43" s="543" t="s">
        <v>74</v>
      </c>
      <c r="B43" s="546" t="s">
        <v>75</v>
      </c>
      <c r="C43" s="545">
        <v>5</v>
      </c>
      <c r="D43" s="545">
        <v>1</v>
      </c>
      <c r="E43" s="545">
        <f t="shared" si="1"/>
        <v>4</v>
      </c>
      <c r="F43" s="972">
        <f t="shared" si="0"/>
        <v>0.8</v>
      </c>
      <c r="G43" s="566"/>
      <c r="H43" s="525"/>
      <c r="I43" s="567"/>
      <c r="J43" s="525"/>
      <c r="K43" s="525"/>
      <c r="L43" s="683">
        <v>11</v>
      </c>
      <c r="M43" s="683"/>
      <c r="N43" s="683"/>
      <c r="O43" s="684"/>
    </row>
    <row r="44" spans="1:17" s="542" customFormat="1" ht="21.75" customHeight="1">
      <c r="A44" s="543" t="s">
        <v>76</v>
      </c>
      <c r="B44" s="547" t="s">
        <v>77</v>
      </c>
      <c r="C44" s="545">
        <v>2</v>
      </c>
      <c r="D44" s="545"/>
      <c r="E44" s="545">
        <f t="shared" si="1"/>
        <v>2</v>
      </c>
      <c r="F44" s="972">
        <f t="shared" si="0"/>
        <v>1</v>
      </c>
      <c r="G44" s="566"/>
      <c r="H44" s="525"/>
      <c r="I44" s="567"/>
      <c r="J44" s="525"/>
      <c r="K44" s="525"/>
      <c r="L44" s="683">
        <v>9</v>
      </c>
      <c r="M44" s="683"/>
      <c r="N44" s="683"/>
      <c r="O44" s="684"/>
    </row>
    <row r="45" spans="1:17" s="542" customFormat="1" ht="13.2">
      <c r="A45" s="543" t="s">
        <v>78</v>
      </c>
      <c r="B45" s="544" t="s">
        <v>79</v>
      </c>
      <c r="C45" s="545">
        <v>34</v>
      </c>
      <c r="D45" s="545">
        <v>4</v>
      </c>
      <c r="E45" s="545">
        <f t="shared" si="1"/>
        <v>30</v>
      </c>
      <c r="F45" s="972">
        <f t="shared" si="0"/>
        <v>0.88235294117647056</v>
      </c>
      <c r="G45" s="566"/>
      <c r="H45" s="525"/>
      <c r="I45" s="567"/>
      <c r="J45" s="525"/>
      <c r="K45" s="525"/>
      <c r="L45" s="683">
        <v>5</v>
      </c>
      <c r="M45" s="683"/>
      <c r="N45" s="683"/>
      <c r="O45" s="684"/>
    </row>
    <row r="46" spans="1:17" s="542" customFormat="1" ht="13.2">
      <c r="A46" s="543" t="s">
        <v>80</v>
      </c>
      <c r="B46" s="544" t="s">
        <v>81</v>
      </c>
      <c r="C46" s="545">
        <v>16</v>
      </c>
      <c r="D46" s="545"/>
      <c r="E46" s="545">
        <f t="shared" si="1"/>
        <v>16</v>
      </c>
      <c r="F46" s="972">
        <f t="shared" si="0"/>
        <v>1</v>
      </c>
      <c r="G46" s="566"/>
      <c r="H46" s="525"/>
      <c r="I46" s="567"/>
      <c r="J46" s="525"/>
      <c r="K46" s="525"/>
      <c r="L46" s="683">
        <v>5</v>
      </c>
      <c r="M46" s="683"/>
      <c r="N46" s="683"/>
      <c r="O46" s="684"/>
      <c r="Q46" s="1756">
        <f>549/669</f>
        <v>0.820627802690583</v>
      </c>
    </row>
    <row r="47" spans="1:17" s="542" customFormat="1" ht="13.2">
      <c r="A47" s="543" t="s">
        <v>82</v>
      </c>
      <c r="B47" s="544" t="s">
        <v>83</v>
      </c>
      <c r="C47" s="545">
        <v>15</v>
      </c>
      <c r="D47" s="545"/>
      <c r="E47" s="545">
        <f t="shared" si="1"/>
        <v>15</v>
      </c>
      <c r="F47" s="972">
        <f t="shared" si="0"/>
        <v>1</v>
      </c>
      <c r="G47" s="566"/>
      <c r="H47" s="525"/>
      <c r="I47" s="567"/>
      <c r="J47" s="525"/>
      <c r="K47" s="525"/>
      <c r="L47" s="683">
        <v>5</v>
      </c>
      <c r="M47" s="683"/>
      <c r="N47" s="683"/>
      <c r="O47" s="684"/>
    </row>
    <row r="48" spans="1:17" s="542" customFormat="1" ht="13.2">
      <c r="A48" s="543" t="s">
        <v>84</v>
      </c>
      <c r="B48" s="675" t="s">
        <v>355</v>
      </c>
      <c r="C48" s="545">
        <v>14</v>
      </c>
      <c r="D48" s="545"/>
      <c r="E48" s="545">
        <f t="shared" si="1"/>
        <v>14</v>
      </c>
      <c r="F48" s="972">
        <f t="shared" si="0"/>
        <v>1</v>
      </c>
      <c r="G48" s="566"/>
      <c r="H48" s="525"/>
      <c r="I48" s="567"/>
      <c r="J48" s="525"/>
      <c r="K48" s="525"/>
      <c r="L48" s="683">
        <v>2</v>
      </c>
      <c r="M48" s="683"/>
      <c r="N48" s="683"/>
      <c r="O48" s="684"/>
    </row>
    <row r="49" spans="1:177" s="542" customFormat="1" ht="13.2">
      <c r="A49" s="543" t="s">
        <v>85</v>
      </c>
      <c r="B49" s="220" t="s">
        <v>86</v>
      </c>
      <c r="C49" s="545">
        <v>18</v>
      </c>
      <c r="D49" s="545">
        <v>1</v>
      </c>
      <c r="E49" s="545">
        <f t="shared" si="1"/>
        <v>17</v>
      </c>
      <c r="F49" s="972">
        <f t="shared" si="0"/>
        <v>0.94444444444444442</v>
      </c>
      <c r="G49" s="566"/>
      <c r="H49" s="525"/>
      <c r="I49" s="567"/>
      <c r="J49" s="525"/>
      <c r="K49" s="525"/>
      <c r="L49" s="683">
        <v>34</v>
      </c>
      <c r="M49" s="683"/>
      <c r="N49" s="683"/>
      <c r="O49" s="684"/>
    </row>
    <row r="50" spans="1:177" s="542" customFormat="1" ht="13.2">
      <c r="A50" s="543" t="s">
        <v>87</v>
      </c>
      <c r="B50" s="220" t="s">
        <v>88</v>
      </c>
      <c r="C50" s="545">
        <v>8</v>
      </c>
      <c r="D50" s="545">
        <v>1</v>
      </c>
      <c r="E50" s="545">
        <f t="shared" si="1"/>
        <v>7</v>
      </c>
      <c r="F50" s="972">
        <f t="shared" si="0"/>
        <v>0.875</v>
      </c>
      <c r="G50" s="566"/>
      <c r="H50" s="525"/>
      <c r="I50" s="567"/>
      <c r="J50" s="525"/>
      <c r="K50" s="525"/>
      <c r="L50" s="683">
        <v>16</v>
      </c>
      <c r="M50" s="683"/>
      <c r="N50" s="683"/>
      <c r="O50" s="684"/>
    </row>
    <row r="51" spans="1:177" s="542" customFormat="1" ht="13.2">
      <c r="A51" s="543" t="s">
        <v>89</v>
      </c>
      <c r="B51" s="220" t="s">
        <v>90</v>
      </c>
      <c r="C51" s="545">
        <v>5</v>
      </c>
      <c r="D51" s="545"/>
      <c r="E51" s="545">
        <f t="shared" si="1"/>
        <v>5</v>
      </c>
      <c r="F51" s="972">
        <f t="shared" si="0"/>
        <v>1</v>
      </c>
      <c r="G51" s="566"/>
      <c r="H51" s="525"/>
      <c r="I51" s="567"/>
      <c r="J51" s="525"/>
      <c r="K51" s="525"/>
      <c r="L51" s="683">
        <v>15</v>
      </c>
      <c r="M51" s="683"/>
      <c r="N51" s="683"/>
      <c r="O51" s="684"/>
    </row>
    <row r="52" spans="1:177" s="542" customFormat="1" ht="13.2">
      <c r="A52" s="543" t="s">
        <v>91</v>
      </c>
      <c r="B52" s="544" t="s">
        <v>92</v>
      </c>
      <c r="C52" s="545">
        <v>7</v>
      </c>
      <c r="D52" s="545">
        <v>1</v>
      </c>
      <c r="E52" s="545">
        <f t="shared" si="1"/>
        <v>6</v>
      </c>
      <c r="F52" s="972">
        <f t="shared" si="0"/>
        <v>0.8571428571428571</v>
      </c>
      <c r="G52" s="566"/>
      <c r="H52" s="525"/>
      <c r="I52" s="567"/>
      <c r="J52" s="525"/>
      <c r="K52" s="525"/>
      <c r="L52" s="683">
        <v>14</v>
      </c>
      <c r="M52" s="683"/>
      <c r="N52" s="683"/>
      <c r="O52" s="684"/>
      <c r="Q52" s="542">
        <f>552/686</f>
        <v>0.80466472303206993</v>
      </c>
    </row>
    <row r="53" spans="1:177" s="542" customFormat="1" ht="13.2">
      <c r="A53" s="543" t="s">
        <v>93</v>
      </c>
      <c r="B53" s="544" t="s">
        <v>94</v>
      </c>
      <c r="C53" s="545">
        <v>2</v>
      </c>
      <c r="D53" s="545"/>
      <c r="E53" s="545">
        <f t="shared" si="1"/>
        <v>2</v>
      </c>
      <c r="F53" s="972">
        <f t="shared" si="0"/>
        <v>1</v>
      </c>
      <c r="G53" s="566"/>
      <c r="H53" s="525"/>
      <c r="I53" s="567"/>
      <c r="J53" s="525"/>
      <c r="K53" s="525"/>
      <c r="L53" s="683">
        <v>18</v>
      </c>
      <c r="M53" s="683"/>
      <c r="N53" s="683"/>
      <c r="O53" s="684"/>
    </row>
    <row r="54" spans="1:177" s="542" customFormat="1" ht="13.2">
      <c r="A54" s="543" t="s">
        <v>95</v>
      </c>
      <c r="B54" s="544" t="s">
        <v>96</v>
      </c>
      <c r="C54" s="545">
        <v>4</v>
      </c>
      <c r="D54" s="545">
        <v>1</v>
      </c>
      <c r="E54" s="545">
        <f t="shared" si="1"/>
        <v>3</v>
      </c>
      <c r="F54" s="972">
        <f t="shared" si="0"/>
        <v>0.75</v>
      </c>
      <c r="G54" s="566"/>
      <c r="H54" s="525"/>
      <c r="I54" s="567"/>
      <c r="J54" s="525"/>
      <c r="K54" s="525"/>
      <c r="L54" s="683">
        <v>8</v>
      </c>
      <c r="M54" s="683"/>
      <c r="N54" s="683"/>
      <c r="O54" s="684"/>
    </row>
    <row r="55" spans="1:177" s="542" customFormat="1" ht="13.2">
      <c r="A55" s="543" t="s">
        <v>97</v>
      </c>
      <c r="B55" s="544" t="s">
        <v>98</v>
      </c>
      <c r="C55" s="545">
        <v>19</v>
      </c>
      <c r="D55" s="545">
        <v>5</v>
      </c>
      <c r="E55" s="545">
        <f t="shared" si="1"/>
        <v>14</v>
      </c>
      <c r="F55" s="972">
        <f t="shared" si="0"/>
        <v>0.73684210526315785</v>
      </c>
      <c r="G55" s="566"/>
      <c r="H55" s="525"/>
      <c r="I55" s="567"/>
      <c r="J55" s="525"/>
      <c r="K55" s="525"/>
      <c r="L55" s="567">
        <v>5</v>
      </c>
      <c r="M55" s="567"/>
      <c r="N55" s="567"/>
      <c r="O55" s="684"/>
    </row>
    <row r="56" spans="1:177" s="542" customFormat="1" ht="13.2">
      <c r="A56" s="543" t="s">
        <v>99</v>
      </c>
      <c r="B56" s="544" t="s">
        <v>100</v>
      </c>
      <c r="C56" s="545">
        <v>18</v>
      </c>
      <c r="D56" s="545">
        <v>4</v>
      </c>
      <c r="E56" s="545">
        <f t="shared" si="1"/>
        <v>14</v>
      </c>
      <c r="F56" s="972">
        <f t="shared" si="0"/>
        <v>0.77777777777777779</v>
      </c>
      <c r="G56" s="566"/>
      <c r="H56" s="525"/>
      <c r="I56" s="567"/>
      <c r="J56" s="525"/>
      <c r="K56" s="525"/>
      <c r="L56" s="525">
        <v>7</v>
      </c>
    </row>
    <row r="57" spans="1:177" s="542" customFormat="1" ht="13.2">
      <c r="A57" s="543" t="s">
        <v>103</v>
      </c>
      <c r="B57" s="544" t="s">
        <v>104</v>
      </c>
      <c r="C57" s="545">
        <v>10</v>
      </c>
      <c r="D57" s="545">
        <v>1</v>
      </c>
      <c r="E57" s="545">
        <f t="shared" si="1"/>
        <v>9</v>
      </c>
      <c r="F57" s="972">
        <f t="shared" si="0"/>
        <v>0.9</v>
      </c>
      <c r="G57" s="566"/>
      <c r="H57" s="525"/>
      <c r="I57" s="567"/>
      <c r="J57" s="525"/>
      <c r="K57" s="525"/>
      <c r="L57" s="525">
        <v>2</v>
      </c>
    </row>
    <row r="58" spans="1:177" s="542" customFormat="1" ht="13.2">
      <c r="A58" s="543" t="s">
        <v>517</v>
      </c>
      <c r="B58" s="544" t="s">
        <v>518</v>
      </c>
      <c r="C58" s="545">
        <v>1</v>
      </c>
      <c r="D58" s="545"/>
      <c r="E58" s="545">
        <f t="shared" si="1"/>
        <v>1</v>
      </c>
      <c r="F58" s="972">
        <f t="shared" si="0"/>
        <v>1</v>
      </c>
      <c r="G58" s="566"/>
      <c r="H58" s="525"/>
      <c r="I58" s="567"/>
      <c r="J58" s="525"/>
      <c r="K58" s="525"/>
      <c r="L58" s="525">
        <v>4</v>
      </c>
      <c r="O58" s="1798">
        <f>9/256</f>
        <v>3.515625E-2</v>
      </c>
    </row>
    <row r="59" spans="1:177" s="542" customFormat="1" ht="13.2">
      <c r="A59" s="543" t="s">
        <v>519</v>
      </c>
      <c r="B59" s="544" t="s">
        <v>520</v>
      </c>
      <c r="C59" s="545">
        <v>9</v>
      </c>
      <c r="D59" s="545"/>
      <c r="E59" s="545">
        <f t="shared" si="1"/>
        <v>9</v>
      </c>
      <c r="F59" s="972">
        <f t="shared" si="0"/>
        <v>1</v>
      </c>
      <c r="G59" s="566"/>
      <c r="H59" s="525"/>
      <c r="I59" s="567"/>
      <c r="J59" s="525"/>
      <c r="K59" s="525"/>
      <c r="L59" s="525"/>
    </row>
    <row r="60" spans="1:177" s="542" customFormat="1" ht="13.2">
      <c r="A60" s="543" t="s">
        <v>521</v>
      </c>
      <c r="B60" s="544" t="s">
        <v>522</v>
      </c>
      <c r="C60" s="545">
        <v>8</v>
      </c>
      <c r="D60" s="545">
        <v>1</v>
      </c>
      <c r="E60" s="545">
        <f t="shared" si="1"/>
        <v>7</v>
      </c>
      <c r="F60" s="972">
        <f t="shared" si="0"/>
        <v>0.875</v>
      </c>
      <c r="G60" s="566"/>
      <c r="H60" s="525"/>
      <c r="I60" s="567"/>
      <c r="J60" s="525"/>
      <c r="K60" s="525"/>
      <c r="L60" s="567">
        <f>SUM(L36:L59)</f>
        <v>256</v>
      </c>
    </row>
    <row r="61" spans="1:177" s="542" customFormat="1" ht="13.8" thickBot="1">
      <c r="A61" s="2132" t="s">
        <v>105</v>
      </c>
      <c r="B61" s="2133"/>
      <c r="C61" s="909">
        <f>SUM(C15:C60)</f>
        <v>549</v>
      </c>
      <c r="D61" s="910">
        <f>SUM(D9:D60)</f>
        <v>48</v>
      </c>
      <c r="E61" s="910">
        <f>SUM(E9:E60)</f>
        <v>501</v>
      </c>
      <c r="F61" s="973">
        <f>E61/C61</f>
        <v>0.91256830601092898</v>
      </c>
      <c r="G61" s="566"/>
      <c r="H61" s="525"/>
      <c r="I61" s="567"/>
      <c r="J61" s="525"/>
      <c r="K61" s="525"/>
      <c r="L61" s="525"/>
    </row>
    <row r="62" spans="1:177" s="542" customFormat="1" ht="14.4" thickBot="1">
      <c r="A62" s="552" t="str">
        <f>'fiche technique'!A14</f>
        <v>Source: GALAXIE (ANTEE), DGRH A1-1 &amp; DGRH A2, juin 2014</v>
      </c>
      <c r="B62" s="685"/>
      <c r="C62" s="554"/>
      <c r="D62" s="974">
        <f>D61/$C$61</f>
        <v>8.7431693989071038E-2</v>
      </c>
      <c r="E62" s="975">
        <f>E61/$C$61</f>
        <v>0.91256830601092898</v>
      </c>
      <c r="F62" s="686"/>
      <c r="G62" s="566"/>
      <c r="H62" s="525"/>
      <c r="I62" s="567"/>
      <c r="J62" s="525"/>
      <c r="K62" s="525"/>
      <c r="L62" s="525"/>
    </row>
    <row r="63" spans="1:177" s="542" customFormat="1" ht="13.2">
      <c r="A63" s="523"/>
      <c r="B63" s="523"/>
      <c r="C63" s="523"/>
      <c r="D63" s="523"/>
      <c r="E63" s="523"/>
      <c r="F63" s="524"/>
      <c r="G63" s="566"/>
      <c r="H63" s="525"/>
      <c r="I63" s="567"/>
      <c r="J63" s="525"/>
      <c r="K63" s="525"/>
      <c r="L63" s="525"/>
    </row>
    <row r="64" spans="1:177" ht="13.2">
      <c r="G64" s="566"/>
      <c r="H64" s="566"/>
      <c r="I64" s="567"/>
      <c r="J64" s="566"/>
      <c r="K64" s="542"/>
      <c r="L64" s="542"/>
      <c r="M64" s="542"/>
      <c r="N64" s="542"/>
      <c r="O64" s="542"/>
      <c r="P64" s="542"/>
      <c r="Q64" s="542"/>
      <c r="R64" s="542"/>
      <c r="S64" s="542"/>
      <c r="T64" s="542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2"/>
      <c r="AF64" s="542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2"/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542"/>
      <c r="BM64" s="542"/>
      <c r="BN64" s="542"/>
      <c r="BO64" s="542"/>
      <c r="BP64" s="542"/>
      <c r="BQ64" s="542"/>
      <c r="BR64" s="542"/>
      <c r="BS64" s="542"/>
      <c r="BT64" s="542"/>
      <c r="BU64" s="542"/>
      <c r="BV64" s="542"/>
      <c r="BW64" s="542"/>
      <c r="BX64" s="542"/>
      <c r="BY64" s="542"/>
      <c r="BZ64" s="542"/>
      <c r="CA64" s="542"/>
      <c r="CB64" s="542"/>
      <c r="CC64" s="542"/>
      <c r="CD64" s="542"/>
      <c r="CE64" s="542"/>
      <c r="CF64" s="542"/>
      <c r="CG64" s="542"/>
      <c r="CH64" s="542"/>
      <c r="CI64" s="542"/>
      <c r="CJ64" s="542"/>
      <c r="CK64" s="542"/>
      <c r="CL64" s="542"/>
      <c r="CM64" s="542"/>
      <c r="CN64" s="542"/>
      <c r="CO64" s="542"/>
      <c r="CP64" s="542"/>
      <c r="CQ64" s="542"/>
      <c r="CR64" s="542"/>
      <c r="CS64" s="542"/>
      <c r="CT64" s="542"/>
      <c r="CU64" s="542"/>
      <c r="CV64" s="542"/>
      <c r="CW64" s="542"/>
      <c r="CX64" s="542"/>
      <c r="CY64" s="542"/>
      <c r="CZ64" s="542"/>
      <c r="DA64" s="542"/>
      <c r="DB64" s="542"/>
      <c r="DC64" s="542"/>
      <c r="DD64" s="542"/>
      <c r="DE64" s="542"/>
      <c r="DF64" s="542"/>
      <c r="DG64" s="542"/>
      <c r="DH64" s="542"/>
      <c r="DI64" s="542"/>
      <c r="DJ64" s="542"/>
      <c r="DK64" s="542"/>
      <c r="DL64" s="542"/>
      <c r="DM64" s="542"/>
      <c r="DN64" s="542"/>
      <c r="DO64" s="542"/>
      <c r="DP64" s="542"/>
      <c r="DQ64" s="542"/>
      <c r="DR64" s="542"/>
      <c r="DS64" s="542"/>
      <c r="DT64" s="542"/>
      <c r="DU64" s="542"/>
      <c r="DV64" s="542"/>
      <c r="DW64" s="542"/>
      <c r="DX64" s="542"/>
      <c r="DY64" s="542"/>
      <c r="DZ64" s="542"/>
      <c r="EA64" s="542"/>
      <c r="EB64" s="542"/>
      <c r="EC64" s="542"/>
      <c r="ED64" s="542"/>
      <c r="EE64" s="542"/>
      <c r="EF64" s="542"/>
      <c r="EG64" s="542"/>
      <c r="EH64" s="542"/>
      <c r="EI64" s="542"/>
      <c r="EJ64" s="542"/>
      <c r="EK64" s="542"/>
      <c r="EL64" s="542"/>
      <c r="EM64" s="542"/>
      <c r="EN64" s="542"/>
      <c r="EO64" s="542"/>
      <c r="EP64" s="542"/>
      <c r="EQ64" s="542"/>
      <c r="ER64" s="542"/>
      <c r="ES64" s="542"/>
      <c r="ET64" s="542"/>
      <c r="EU64" s="542"/>
      <c r="EV64" s="542"/>
      <c r="EW64" s="542"/>
      <c r="EX64" s="542"/>
      <c r="EY64" s="542"/>
      <c r="EZ64" s="542"/>
      <c r="FA64" s="542"/>
      <c r="FB64" s="542"/>
      <c r="FC64" s="542"/>
      <c r="FD64" s="542"/>
      <c r="FE64" s="542"/>
      <c r="FF64" s="542"/>
      <c r="FG64" s="542"/>
      <c r="FH64" s="542"/>
      <c r="FI64" s="542"/>
      <c r="FJ64" s="542"/>
      <c r="FK64" s="542"/>
      <c r="FL64" s="542"/>
      <c r="FM64" s="542"/>
      <c r="FN64" s="542"/>
      <c r="FO64" s="542"/>
      <c r="FP64" s="542"/>
      <c r="FQ64" s="542"/>
      <c r="FR64" s="542"/>
      <c r="FS64" s="542"/>
      <c r="FT64" s="542"/>
      <c r="FU64" s="542"/>
    </row>
    <row r="65" spans="2:177" ht="13.2">
      <c r="G65" s="566"/>
      <c r="H65" s="566"/>
      <c r="I65" s="525"/>
      <c r="J65" s="566"/>
      <c r="K65" s="542"/>
      <c r="L65" s="542"/>
      <c r="M65" s="542"/>
      <c r="N65" s="542"/>
      <c r="O65" s="542"/>
      <c r="P65" s="542"/>
      <c r="Q65" s="542"/>
      <c r="R65" s="542"/>
      <c r="S65" s="542"/>
      <c r="T65" s="542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V65" s="542"/>
      <c r="CW65" s="542"/>
      <c r="CX65" s="542"/>
      <c r="CY65" s="542"/>
      <c r="CZ65" s="542"/>
      <c r="DA65" s="542"/>
      <c r="DB65" s="542"/>
      <c r="DC65" s="542"/>
      <c r="DD65" s="542"/>
      <c r="DE65" s="542"/>
      <c r="DF65" s="542"/>
      <c r="DG65" s="542"/>
      <c r="DH65" s="542"/>
      <c r="DI65" s="542"/>
      <c r="DJ65" s="542"/>
      <c r="DK65" s="542"/>
      <c r="DL65" s="542"/>
      <c r="DM65" s="542"/>
      <c r="DN65" s="542"/>
      <c r="DO65" s="542"/>
      <c r="DP65" s="542"/>
      <c r="DQ65" s="542"/>
      <c r="DR65" s="542"/>
      <c r="DS65" s="542"/>
      <c r="DT65" s="542"/>
      <c r="DU65" s="542"/>
      <c r="DV65" s="542"/>
      <c r="DW65" s="542"/>
      <c r="DX65" s="542"/>
      <c r="DY65" s="542"/>
      <c r="DZ65" s="542"/>
      <c r="EA65" s="542"/>
      <c r="EB65" s="542"/>
      <c r="EC65" s="542"/>
      <c r="ED65" s="542"/>
      <c r="EE65" s="542"/>
      <c r="EF65" s="542"/>
      <c r="EG65" s="542"/>
      <c r="EH65" s="542"/>
      <c r="EI65" s="542"/>
      <c r="EJ65" s="542"/>
      <c r="EK65" s="542"/>
      <c r="EL65" s="542"/>
      <c r="EM65" s="542"/>
      <c r="EN65" s="542"/>
      <c r="EO65" s="542"/>
      <c r="EP65" s="542"/>
      <c r="EQ65" s="542"/>
      <c r="ER65" s="542"/>
      <c r="ES65" s="542"/>
      <c r="ET65" s="542"/>
      <c r="EU65" s="542"/>
      <c r="EV65" s="542"/>
      <c r="EW65" s="542"/>
      <c r="EX65" s="542"/>
      <c r="EY65" s="542"/>
      <c r="EZ65" s="542"/>
      <c r="FA65" s="542"/>
      <c r="FB65" s="542"/>
      <c r="FC65" s="542"/>
      <c r="FD65" s="542"/>
      <c r="FE65" s="542"/>
      <c r="FF65" s="542"/>
      <c r="FG65" s="542"/>
      <c r="FH65" s="542"/>
      <c r="FI65" s="542"/>
      <c r="FJ65" s="542"/>
      <c r="FK65" s="542"/>
      <c r="FL65" s="542"/>
      <c r="FM65" s="542"/>
      <c r="FN65" s="542"/>
      <c r="FO65" s="542"/>
      <c r="FP65" s="542"/>
      <c r="FQ65" s="542"/>
      <c r="FR65" s="542"/>
      <c r="FS65" s="542"/>
      <c r="FT65" s="542"/>
      <c r="FU65" s="542"/>
    </row>
    <row r="66" spans="2:177" ht="13.2">
      <c r="B66" s="1195"/>
      <c r="G66" s="566"/>
      <c r="H66" s="566"/>
      <c r="I66" s="566"/>
      <c r="J66" s="566"/>
      <c r="K66" s="542"/>
      <c r="L66" s="542"/>
      <c r="M66" s="542"/>
      <c r="N66" s="542"/>
      <c r="O66" s="542"/>
      <c r="P66" s="542"/>
      <c r="Q66" s="542"/>
      <c r="R66" s="542"/>
      <c r="S66" s="542"/>
      <c r="T66" s="542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2"/>
      <c r="AZ66" s="542"/>
      <c r="BA66" s="542"/>
      <c r="BB66" s="542"/>
      <c r="BC66" s="542"/>
      <c r="BD66" s="542"/>
      <c r="BE66" s="542"/>
      <c r="BF66" s="542"/>
      <c r="BG66" s="542"/>
      <c r="BH66" s="542"/>
      <c r="BI66" s="542"/>
      <c r="BJ66" s="542"/>
      <c r="BK66" s="542"/>
      <c r="BL66" s="542"/>
      <c r="BM66" s="542"/>
      <c r="BN66" s="542"/>
      <c r="BO66" s="542"/>
      <c r="BP66" s="542"/>
      <c r="BQ66" s="542"/>
      <c r="BR66" s="542"/>
      <c r="BS66" s="542"/>
      <c r="BT66" s="542"/>
      <c r="BU66" s="542"/>
      <c r="BV66" s="542"/>
      <c r="BW66" s="542"/>
      <c r="BX66" s="542"/>
      <c r="BY66" s="542"/>
      <c r="BZ66" s="542"/>
      <c r="CA66" s="542"/>
      <c r="CB66" s="542"/>
      <c r="CC66" s="542"/>
      <c r="CD66" s="542"/>
      <c r="CE66" s="542"/>
      <c r="CF66" s="542"/>
      <c r="CG66" s="542"/>
      <c r="CH66" s="542"/>
      <c r="CI66" s="542"/>
      <c r="CJ66" s="542"/>
      <c r="CK66" s="542"/>
      <c r="CL66" s="542"/>
      <c r="CM66" s="542"/>
      <c r="CN66" s="542"/>
      <c r="CO66" s="542"/>
      <c r="CP66" s="542"/>
      <c r="CQ66" s="542"/>
      <c r="CR66" s="542"/>
      <c r="CS66" s="542"/>
      <c r="CT66" s="542"/>
      <c r="CU66" s="542"/>
      <c r="CV66" s="542"/>
      <c r="CW66" s="542"/>
      <c r="CX66" s="542"/>
      <c r="CY66" s="542"/>
      <c r="CZ66" s="542"/>
      <c r="DA66" s="542"/>
      <c r="DB66" s="542"/>
      <c r="DC66" s="542"/>
      <c r="DD66" s="542"/>
      <c r="DE66" s="542"/>
      <c r="DF66" s="542"/>
      <c r="DG66" s="542"/>
      <c r="DH66" s="542"/>
      <c r="DI66" s="542"/>
      <c r="DJ66" s="542"/>
      <c r="DK66" s="542"/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542"/>
      <c r="DY66" s="542"/>
      <c r="DZ66" s="542"/>
      <c r="EA66" s="542"/>
      <c r="EB66" s="542"/>
      <c r="EC66" s="542"/>
      <c r="ED66" s="542"/>
      <c r="EE66" s="542"/>
      <c r="EF66" s="542"/>
      <c r="EG66" s="542"/>
      <c r="EH66" s="542"/>
      <c r="EI66" s="542"/>
      <c r="EJ66" s="542"/>
      <c r="EK66" s="542"/>
      <c r="EL66" s="542"/>
      <c r="EM66" s="542"/>
      <c r="EN66" s="542"/>
      <c r="EO66" s="542"/>
      <c r="EP66" s="542"/>
      <c r="EQ66" s="542"/>
      <c r="ER66" s="542"/>
      <c r="ES66" s="542"/>
      <c r="ET66" s="542"/>
      <c r="EU66" s="542"/>
      <c r="EV66" s="542"/>
      <c r="EW66" s="542"/>
      <c r="EX66" s="542"/>
      <c r="EY66" s="542"/>
      <c r="EZ66" s="542"/>
      <c r="FA66" s="542"/>
      <c r="FB66" s="542"/>
      <c r="FC66" s="542"/>
      <c r="FD66" s="542"/>
      <c r="FE66" s="542"/>
      <c r="FF66" s="542"/>
      <c r="FG66" s="542"/>
      <c r="FH66" s="542"/>
      <c r="FI66" s="542"/>
      <c r="FJ66" s="542"/>
      <c r="FK66" s="542"/>
      <c r="FL66" s="542"/>
      <c r="FM66" s="542"/>
      <c r="FN66" s="542"/>
      <c r="FO66" s="542"/>
      <c r="FP66" s="542"/>
      <c r="FQ66" s="542"/>
      <c r="FR66" s="542"/>
      <c r="FS66" s="542"/>
      <c r="FT66" s="542"/>
      <c r="FU66" s="542"/>
    </row>
    <row r="67" spans="2:177" ht="13.2">
      <c r="G67" s="566"/>
      <c r="H67" s="566"/>
      <c r="I67" s="566"/>
      <c r="J67" s="566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2"/>
      <c r="AZ67" s="542"/>
      <c r="BA67" s="542"/>
      <c r="BB67" s="542"/>
      <c r="BC67" s="542"/>
      <c r="BD67" s="542"/>
      <c r="BE67" s="542"/>
      <c r="BF67" s="542"/>
      <c r="BG67" s="542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V67" s="542"/>
      <c r="CW67" s="542"/>
      <c r="CX67" s="542"/>
      <c r="CY67" s="542"/>
      <c r="CZ67" s="542"/>
      <c r="DA67" s="542"/>
      <c r="DB67" s="542"/>
      <c r="DC67" s="542"/>
      <c r="DD67" s="542"/>
      <c r="DE67" s="542"/>
      <c r="DF67" s="542"/>
      <c r="DG67" s="542"/>
      <c r="DH67" s="542"/>
      <c r="DI67" s="542"/>
      <c r="DJ67" s="542"/>
      <c r="DK67" s="542"/>
      <c r="DL67" s="542"/>
      <c r="DM67" s="542"/>
      <c r="DN67" s="542"/>
      <c r="DO67" s="542"/>
      <c r="DP67" s="542"/>
      <c r="DQ67" s="542"/>
      <c r="DR67" s="542"/>
      <c r="DS67" s="542"/>
      <c r="DT67" s="542"/>
      <c r="DU67" s="542"/>
      <c r="DV67" s="542"/>
      <c r="DW67" s="542"/>
      <c r="DX67" s="542"/>
      <c r="DY67" s="542"/>
      <c r="DZ67" s="542"/>
      <c r="EA67" s="542"/>
      <c r="EB67" s="542"/>
      <c r="EC67" s="542"/>
      <c r="ED67" s="542"/>
      <c r="EE67" s="542"/>
      <c r="EF67" s="542"/>
      <c r="EG67" s="542"/>
      <c r="EH67" s="542"/>
      <c r="EI67" s="542"/>
      <c r="EJ67" s="542"/>
      <c r="EK67" s="542"/>
      <c r="EL67" s="542"/>
      <c r="EM67" s="542"/>
      <c r="EN67" s="542"/>
      <c r="EO67" s="542"/>
      <c r="EP67" s="542"/>
      <c r="EQ67" s="542"/>
      <c r="ER67" s="542"/>
      <c r="ES67" s="542"/>
      <c r="ET67" s="542"/>
      <c r="EU67" s="542"/>
      <c r="EV67" s="542"/>
      <c r="EW67" s="542"/>
      <c r="EX67" s="542"/>
      <c r="EY67" s="542"/>
      <c r="EZ67" s="542"/>
      <c r="FA67" s="542"/>
      <c r="FB67" s="542"/>
      <c r="FC67" s="542"/>
      <c r="FD67" s="542"/>
      <c r="FE67" s="542"/>
      <c r="FF67" s="542"/>
      <c r="FG67" s="542"/>
      <c r="FH67" s="542"/>
      <c r="FI67" s="542"/>
      <c r="FJ67" s="542"/>
      <c r="FK67" s="542"/>
      <c r="FL67" s="542"/>
      <c r="FM67" s="542"/>
      <c r="FN67" s="542"/>
      <c r="FO67" s="542"/>
      <c r="FP67" s="542"/>
      <c r="FQ67" s="542"/>
      <c r="FR67" s="542"/>
      <c r="FS67" s="542"/>
      <c r="FT67" s="542"/>
      <c r="FU67" s="542"/>
    </row>
    <row r="68" spans="2:177" ht="13.2">
      <c r="G68" s="566"/>
      <c r="H68" s="566"/>
      <c r="I68" s="566"/>
      <c r="J68" s="566"/>
      <c r="K68" s="542"/>
      <c r="L68" s="542"/>
      <c r="M68" s="542"/>
      <c r="N68" s="542"/>
      <c r="O68" s="542"/>
      <c r="P68" s="542"/>
      <c r="Q68" s="542"/>
      <c r="R68" s="542"/>
      <c r="S68" s="542"/>
      <c r="T68" s="542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2"/>
      <c r="AZ68" s="542"/>
      <c r="BA68" s="542"/>
      <c r="BB68" s="542"/>
      <c r="BC68" s="542"/>
      <c r="BD68" s="542"/>
      <c r="BE68" s="542"/>
      <c r="BF68" s="542"/>
      <c r="BG68" s="542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V68" s="542"/>
      <c r="CW68" s="542"/>
      <c r="CX68" s="542"/>
      <c r="CY68" s="542"/>
      <c r="CZ68" s="542"/>
      <c r="DA68" s="542"/>
      <c r="DB68" s="542"/>
      <c r="DC68" s="542"/>
      <c r="DD68" s="542"/>
      <c r="DE68" s="542"/>
      <c r="DF68" s="542"/>
      <c r="DG68" s="542"/>
      <c r="DH68" s="542"/>
      <c r="DI68" s="542"/>
      <c r="DJ68" s="542"/>
      <c r="DK68" s="542"/>
      <c r="DL68" s="542"/>
      <c r="DM68" s="542"/>
      <c r="DN68" s="542"/>
      <c r="DO68" s="542"/>
      <c r="DP68" s="542"/>
      <c r="DQ68" s="542"/>
      <c r="DR68" s="542"/>
      <c r="DS68" s="542"/>
      <c r="DT68" s="542"/>
      <c r="DU68" s="542"/>
      <c r="DV68" s="542"/>
      <c r="DW68" s="542"/>
      <c r="DX68" s="542"/>
      <c r="DY68" s="542"/>
      <c r="DZ68" s="542"/>
      <c r="EA68" s="542"/>
      <c r="EB68" s="542"/>
      <c r="EC68" s="542"/>
      <c r="ED68" s="542"/>
      <c r="EE68" s="542"/>
      <c r="EF68" s="542"/>
      <c r="EG68" s="542"/>
    </row>
    <row r="69" spans="2:177" ht="13.2">
      <c r="G69" s="566"/>
      <c r="H69" s="566"/>
      <c r="I69" s="566"/>
      <c r="J69" s="566"/>
      <c r="K69" s="542"/>
      <c r="L69" s="542"/>
      <c r="M69" s="542"/>
      <c r="N69" s="542"/>
      <c r="O69" s="542"/>
      <c r="P69" s="542"/>
      <c r="Q69" s="542"/>
      <c r="R69" s="542"/>
      <c r="S69" s="542"/>
      <c r="T69" s="542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2"/>
      <c r="AZ69" s="542"/>
      <c r="BA69" s="542"/>
      <c r="BB69" s="542"/>
      <c r="BC69" s="542"/>
      <c r="BD69" s="542"/>
      <c r="BE69" s="542"/>
      <c r="BF69" s="542"/>
      <c r="BG69" s="542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V69" s="542"/>
      <c r="CW69" s="542"/>
      <c r="CX69" s="542"/>
      <c r="CY69" s="542"/>
      <c r="CZ69" s="542"/>
      <c r="DA69" s="542"/>
      <c r="DB69" s="542"/>
      <c r="DC69" s="542"/>
      <c r="DD69" s="542"/>
      <c r="DE69" s="542"/>
      <c r="DF69" s="542"/>
      <c r="DG69" s="542"/>
      <c r="DH69" s="542"/>
      <c r="DI69" s="542"/>
      <c r="DJ69" s="542"/>
      <c r="DK69" s="542"/>
      <c r="DL69" s="542"/>
      <c r="DM69" s="542"/>
      <c r="DN69" s="542"/>
      <c r="DO69" s="542"/>
      <c r="DP69" s="542"/>
      <c r="DQ69" s="542"/>
      <c r="DR69" s="542"/>
      <c r="DS69" s="542"/>
      <c r="DT69" s="542"/>
      <c r="DU69" s="542"/>
      <c r="DV69" s="542"/>
      <c r="DW69" s="542"/>
      <c r="DX69" s="542"/>
      <c r="DY69" s="542"/>
      <c r="DZ69" s="542"/>
      <c r="EA69" s="542"/>
      <c r="EB69" s="542"/>
      <c r="EC69" s="542"/>
      <c r="ED69" s="542"/>
      <c r="EE69" s="542"/>
      <c r="EF69" s="542"/>
      <c r="EG69" s="542"/>
    </row>
    <row r="70" spans="2:177" ht="13.2">
      <c r="G70" s="566"/>
      <c r="H70" s="566"/>
      <c r="I70" s="566"/>
      <c r="J70" s="566"/>
      <c r="K70" s="542"/>
      <c r="L70" s="542"/>
      <c r="M70" s="542"/>
      <c r="N70" s="542"/>
      <c r="O70" s="542"/>
      <c r="P70" s="542"/>
      <c r="Q70" s="542"/>
      <c r="R70" s="542"/>
      <c r="S70" s="542"/>
      <c r="T70" s="542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2"/>
      <c r="AZ70" s="542"/>
      <c r="BA70" s="542"/>
      <c r="BB70" s="542"/>
      <c r="BC70" s="542"/>
      <c r="BD70" s="542"/>
      <c r="BE70" s="542"/>
      <c r="BF70" s="542"/>
      <c r="BG70" s="542"/>
      <c r="BH70" s="542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V70" s="542"/>
      <c r="CW70" s="542"/>
      <c r="CX70" s="542"/>
      <c r="CY70" s="542"/>
      <c r="CZ70" s="542"/>
      <c r="DA70" s="542"/>
      <c r="DB70" s="542"/>
      <c r="DC70" s="542"/>
      <c r="DD70" s="542"/>
      <c r="DE70" s="542"/>
      <c r="DF70" s="542"/>
      <c r="DG70" s="542"/>
      <c r="DH70" s="542"/>
      <c r="DI70" s="542"/>
      <c r="DJ70" s="542"/>
      <c r="DK70" s="542"/>
      <c r="DL70" s="542"/>
      <c r="DM70" s="542"/>
      <c r="DN70" s="542"/>
      <c r="DO70" s="542"/>
      <c r="DP70" s="542"/>
      <c r="DQ70" s="542"/>
      <c r="DR70" s="542"/>
      <c r="DS70" s="542"/>
      <c r="DT70" s="542"/>
      <c r="DU70" s="542"/>
      <c r="DV70" s="542"/>
      <c r="DW70" s="542"/>
      <c r="DX70" s="542"/>
      <c r="DY70" s="542"/>
      <c r="DZ70" s="542"/>
      <c r="EA70" s="542"/>
      <c r="EB70" s="542"/>
      <c r="EC70" s="542"/>
      <c r="ED70" s="542"/>
      <c r="EE70" s="542"/>
      <c r="EF70" s="542"/>
      <c r="EG70" s="542"/>
    </row>
    <row r="71" spans="2:177" ht="13.2">
      <c r="G71" s="566"/>
      <c r="H71" s="566"/>
      <c r="I71" s="566"/>
      <c r="J71" s="566"/>
      <c r="K71" s="542"/>
      <c r="L71" s="542"/>
      <c r="M71" s="542"/>
      <c r="N71" s="542"/>
      <c r="O71" s="542"/>
      <c r="P71" s="542"/>
      <c r="Q71" s="542"/>
      <c r="R71" s="542"/>
      <c r="S71" s="542"/>
      <c r="T71" s="542"/>
      <c r="U71" s="542"/>
      <c r="V71" s="542"/>
      <c r="W71" s="542"/>
      <c r="X71" s="542"/>
      <c r="Y71" s="542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  <c r="AK71" s="542"/>
      <c r="AL71" s="542"/>
      <c r="AM71" s="542"/>
      <c r="AN71" s="542"/>
      <c r="AO71" s="542"/>
      <c r="AP71" s="542"/>
      <c r="AQ71" s="542"/>
      <c r="AR71" s="542"/>
      <c r="AS71" s="542"/>
      <c r="AT71" s="542"/>
      <c r="AU71" s="542"/>
      <c r="AV71" s="542"/>
      <c r="AW71" s="542"/>
      <c r="AX71" s="542"/>
      <c r="AY71" s="542"/>
      <c r="AZ71" s="542"/>
      <c r="BA71" s="542"/>
      <c r="BB71" s="542"/>
      <c r="BC71" s="542"/>
      <c r="BD71" s="542"/>
      <c r="BE71" s="542"/>
      <c r="BF71" s="542"/>
      <c r="BG71" s="542"/>
      <c r="BH71" s="542"/>
      <c r="BI71" s="542"/>
      <c r="BJ71" s="542"/>
      <c r="BK71" s="542"/>
      <c r="BL71" s="542"/>
      <c r="BM71" s="542"/>
      <c r="BN71" s="542"/>
      <c r="BO71" s="542"/>
      <c r="BP71" s="542"/>
      <c r="BQ71" s="542"/>
      <c r="BR71" s="542"/>
      <c r="BS71" s="542"/>
      <c r="BT71" s="542"/>
      <c r="BU71" s="542"/>
      <c r="BV71" s="542"/>
      <c r="BW71" s="542"/>
      <c r="BX71" s="542"/>
      <c r="BY71" s="542"/>
      <c r="BZ71" s="542"/>
      <c r="CA71" s="542"/>
      <c r="CB71" s="542"/>
      <c r="CC71" s="542"/>
      <c r="CD71" s="542"/>
      <c r="CE71" s="542"/>
      <c r="CF71" s="542"/>
      <c r="CG71" s="542"/>
      <c r="CH71" s="542"/>
      <c r="CI71" s="542"/>
      <c r="CJ71" s="542"/>
      <c r="CK71" s="542"/>
      <c r="CL71" s="542"/>
      <c r="CM71" s="542"/>
      <c r="CN71" s="542"/>
      <c r="CO71" s="542"/>
      <c r="CP71" s="542"/>
      <c r="CQ71" s="542"/>
      <c r="CR71" s="542"/>
      <c r="CS71" s="542"/>
      <c r="CT71" s="542"/>
      <c r="CU71" s="542"/>
      <c r="CV71" s="542"/>
      <c r="CW71" s="542"/>
      <c r="CX71" s="542"/>
      <c r="CY71" s="542"/>
      <c r="CZ71" s="542"/>
      <c r="DA71" s="542"/>
      <c r="DB71" s="542"/>
      <c r="DC71" s="542"/>
      <c r="DD71" s="542"/>
      <c r="DE71" s="542"/>
      <c r="DF71" s="542"/>
      <c r="DG71" s="542"/>
      <c r="DH71" s="542"/>
      <c r="DI71" s="542"/>
      <c r="DJ71" s="542"/>
      <c r="DK71" s="542"/>
      <c r="DL71" s="542"/>
      <c r="DM71" s="542"/>
      <c r="DN71" s="542"/>
      <c r="DO71" s="542"/>
      <c r="DP71" s="542"/>
      <c r="DQ71" s="542"/>
      <c r="DR71" s="542"/>
      <c r="DS71" s="542"/>
      <c r="DT71" s="542"/>
      <c r="DU71" s="542"/>
      <c r="DV71" s="542"/>
      <c r="DW71" s="542"/>
      <c r="DX71" s="542"/>
      <c r="DY71" s="542"/>
      <c r="DZ71" s="542"/>
      <c r="EA71" s="542"/>
      <c r="EB71" s="542"/>
      <c r="EC71" s="542"/>
      <c r="ED71" s="542"/>
      <c r="EE71" s="542"/>
      <c r="EF71" s="542"/>
      <c r="EG71" s="542"/>
    </row>
    <row r="72" spans="2:177" ht="13.2">
      <c r="G72" s="566"/>
      <c r="H72" s="566"/>
      <c r="I72" s="566"/>
      <c r="J72" s="566"/>
      <c r="K72" s="542"/>
      <c r="L72" s="542"/>
      <c r="M72" s="542"/>
      <c r="N72" s="542"/>
      <c r="O72" s="542"/>
      <c r="P72" s="542"/>
      <c r="Q72" s="542"/>
      <c r="R72" s="542"/>
      <c r="S72" s="542"/>
      <c r="T72" s="542"/>
      <c r="U72" s="542"/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  <c r="AK72" s="542"/>
      <c r="AL72" s="542"/>
      <c r="AM72" s="542"/>
      <c r="AN72" s="542"/>
      <c r="AO72" s="542"/>
      <c r="AP72" s="542"/>
      <c r="AQ72" s="542"/>
      <c r="AR72" s="542"/>
      <c r="AS72" s="542"/>
      <c r="AT72" s="542"/>
      <c r="AU72" s="542"/>
      <c r="AV72" s="542"/>
      <c r="AW72" s="542"/>
      <c r="AX72" s="542"/>
      <c r="AY72" s="542"/>
      <c r="AZ72" s="542"/>
      <c r="BA72" s="542"/>
      <c r="BB72" s="542"/>
      <c r="BC72" s="542"/>
      <c r="BD72" s="542"/>
      <c r="BE72" s="542"/>
      <c r="BF72" s="542"/>
      <c r="BG72" s="542"/>
      <c r="BH72" s="542"/>
      <c r="BI72" s="542"/>
      <c r="BJ72" s="542"/>
      <c r="BK72" s="542"/>
      <c r="BL72" s="542"/>
      <c r="BM72" s="542"/>
      <c r="BN72" s="542"/>
      <c r="BO72" s="542"/>
      <c r="BP72" s="542"/>
      <c r="BQ72" s="542"/>
      <c r="BR72" s="542"/>
      <c r="BS72" s="542"/>
      <c r="BT72" s="542"/>
      <c r="BU72" s="542"/>
      <c r="BV72" s="542"/>
      <c r="BW72" s="542"/>
      <c r="BX72" s="542"/>
      <c r="BY72" s="542"/>
      <c r="BZ72" s="542"/>
      <c r="CA72" s="542"/>
      <c r="CB72" s="542"/>
      <c r="CC72" s="542"/>
      <c r="CD72" s="542"/>
      <c r="CE72" s="542"/>
      <c r="CF72" s="542"/>
      <c r="CG72" s="542"/>
      <c r="CH72" s="542"/>
      <c r="CI72" s="542"/>
      <c r="CJ72" s="542"/>
      <c r="CK72" s="542"/>
      <c r="CL72" s="542"/>
      <c r="CM72" s="542"/>
      <c r="CN72" s="542"/>
      <c r="CO72" s="542"/>
      <c r="CP72" s="542"/>
      <c r="CQ72" s="542"/>
      <c r="CR72" s="542"/>
      <c r="CS72" s="542"/>
      <c r="CT72" s="542"/>
      <c r="CU72" s="542"/>
      <c r="CV72" s="542"/>
      <c r="CW72" s="542"/>
      <c r="CX72" s="542"/>
      <c r="CY72" s="542"/>
      <c r="CZ72" s="542"/>
      <c r="DA72" s="542"/>
      <c r="DB72" s="542"/>
      <c r="DC72" s="542"/>
      <c r="DD72" s="542"/>
      <c r="DE72" s="542"/>
      <c r="DF72" s="542"/>
      <c r="DG72" s="542"/>
      <c r="DH72" s="542"/>
      <c r="DI72" s="542"/>
      <c r="DJ72" s="542"/>
      <c r="DK72" s="542"/>
      <c r="DL72" s="542"/>
      <c r="DM72" s="542"/>
      <c r="DN72" s="542"/>
      <c r="DO72" s="542"/>
      <c r="DP72" s="542"/>
      <c r="DQ72" s="542"/>
      <c r="DR72" s="542"/>
      <c r="DS72" s="542"/>
      <c r="DT72" s="542"/>
      <c r="DU72" s="542"/>
      <c r="DV72" s="542"/>
      <c r="DW72" s="542"/>
      <c r="DX72" s="542"/>
      <c r="DY72" s="542"/>
      <c r="DZ72" s="542"/>
      <c r="EA72" s="542"/>
      <c r="EB72" s="542"/>
      <c r="EC72" s="542"/>
      <c r="ED72" s="542"/>
      <c r="EE72" s="542"/>
      <c r="EF72" s="542"/>
      <c r="EG72" s="542"/>
    </row>
    <row r="73" spans="2:177" ht="13.2">
      <c r="G73" s="566"/>
      <c r="H73" s="566"/>
      <c r="I73" s="566"/>
      <c r="J73" s="566"/>
      <c r="K73" s="542"/>
      <c r="L73" s="542"/>
      <c r="M73" s="542"/>
      <c r="N73" s="542"/>
      <c r="O73" s="542"/>
      <c r="P73" s="542"/>
      <c r="Q73" s="542"/>
      <c r="R73" s="542"/>
      <c r="S73" s="542"/>
      <c r="T73" s="542"/>
      <c r="U73" s="542"/>
      <c r="V73" s="542"/>
      <c r="W73" s="542"/>
      <c r="X73" s="542"/>
      <c r="Y73" s="542"/>
      <c r="Z73" s="542"/>
      <c r="AA73" s="542"/>
      <c r="AB73" s="542"/>
      <c r="AC73" s="542"/>
      <c r="AD73" s="542"/>
      <c r="AE73" s="542"/>
      <c r="AF73" s="542"/>
      <c r="AG73" s="542"/>
      <c r="AH73" s="542"/>
      <c r="AI73" s="542"/>
      <c r="AJ73" s="542"/>
      <c r="AK73" s="542"/>
      <c r="AL73" s="542"/>
      <c r="AM73" s="542"/>
      <c r="AN73" s="542"/>
      <c r="AO73" s="542"/>
      <c r="AP73" s="542"/>
      <c r="AQ73" s="542"/>
      <c r="AR73" s="542"/>
      <c r="AS73" s="542"/>
      <c r="AT73" s="542"/>
      <c r="AU73" s="542"/>
      <c r="AV73" s="542"/>
      <c r="AW73" s="542"/>
      <c r="AX73" s="542"/>
      <c r="AY73" s="542"/>
      <c r="AZ73" s="542"/>
      <c r="BA73" s="542"/>
      <c r="BB73" s="542"/>
      <c r="BC73" s="542"/>
      <c r="BD73" s="542"/>
      <c r="BE73" s="542"/>
      <c r="BF73" s="542"/>
      <c r="BG73" s="542"/>
      <c r="BH73" s="542"/>
      <c r="BI73" s="542"/>
      <c r="BJ73" s="542"/>
      <c r="BK73" s="542"/>
      <c r="BL73" s="542"/>
      <c r="BM73" s="542"/>
      <c r="BN73" s="542"/>
      <c r="BO73" s="542"/>
      <c r="BP73" s="542"/>
      <c r="BQ73" s="542"/>
      <c r="BR73" s="542"/>
      <c r="BS73" s="542"/>
      <c r="BT73" s="542"/>
      <c r="BU73" s="542"/>
      <c r="BV73" s="542"/>
      <c r="BW73" s="542"/>
      <c r="BX73" s="542"/>
      <c r="BY73" s="542"/>
      <c r="BZ73" s="542"/>
      <c r="CA73" s="542"/>
      <c r="CB73" s="542"/>
      <c r="CC73" s="542"/>
      <c r="CD73" s="542"/>
      <c r="CE73" s="542"/>
      <c r="CF73" s="542"/>
      <c r="CG73" s="542"/>
      <c r="CH73" s="542"/>
      <c r="CI73" s="542"/>
      <c r="CJ73" s="542"/>
      <c r="CK73" s="542"/>
      <c r="CL73" s="542"/>
      <c r="CM73" s="542"/>
      <c r="CN73" s="542"/>
      <c r="CO73" s="542"/>
      <c r="CP73" s="542"/>
      <c r="CQ73" s="542"/>
      <c r="CR73" s="542"/>
      <c r="CS73" s="542"/>
      <c r="CT73" s="542"/>
      <c r="CU73" s="542"/>
      <c r="CV73" s="542"/>
      <c r="CW73" s="542"/>
      <c r="CX73" s="542"/>
      <c r="CY73" s="542"/>
      <c r="CZ73" s="542"/>
      <c r="DA73" s="542"/>
      <c r="DB73" s="542"/>
      <c r="DC73" s="542"/>
      <c r="DD73" s="542"/>
      <c r="DE73" s="542"/>
      <c r="DF73" s="542"/>
      <c r="DG73" s="542"/>
      <c r="DH73" s="542"/>
      <c r="DI73" s="542"/>
      <c r="DJ73" s="542"/>
      <c r="DK73" s="542"/>
      <c r="DL73" s="542"/>
      <c r="DM73" s="542"/>
      <c r="DN73" s="542"/>
      <c r="DO73" s="542"/>
      <c r="DP73" s="542"/>
      <c r="DQ73" s="542"/>
      <c r="DR73" s="542"/>
      <c r="DS73" s="542"/>
      <c r="DT73" s="542"/>
      <c r="DU73" s="542"/>
      <c r="DV73" s="542"/>
      <c r="DW73" s="542"/>
      <c r="DX73" s="542"/>
      <c r="DY73" s="542"/>
      <c r="DZ73" s="542"/>
      <c r="EA73" s="542"/>
      <c r="EB73" s="542"/>
      <c r="EC73" s="542"/>
      <c r="ED73" s="542"/>
      <c r="EE73" s="542"/>
      <c r="EF73" s="542"/>
      <c r="EG73" s="542"/>
    </row>
    <row r="74" spans="2:177" ht="13.2">
      <c r="G74" s="566"/>
      <c r="H74" s="566"/>
      <c r="I74" s="566"/>
      <c r="J74" s="566"/>
      <c r="K74" s="542"/>
    </row>
    <row r="75" spans="2:177" ht="13.2">
      <c r="G75" s="566"/>
      <c r="H75" s="566"/>
      <c r="I75" s="566"/>
      <c r="J75" s="566"/>
      <c r="K75" s="542"/>
    </row>
    <row r="76" spans="2:177" ht="13.2">
      <c r="G76" s="566"/>
      <c r="H76" s="566"/>
      <c r="I76" s="566"/>
      <c r="J76" s="566"/>
      <c r="K76" s="542"/>
    </row>
    <row r="77" spans="2:177" ht="13.2">
      <c r="G77" s="566"/>
      <c r="H77" s="566"/>
      <c r="I77" s="566"/>
      <c r="J77" s="566"/>
      <c r="K77" s="542"/>
    </row>
    <row r="78" spans="2:177" ht="13.2">
      <c r="G78" s="566"/>
      <c r="H78" s="566"/>
      <c r="I78" s="566"/>
      <c r="J78" s="566"/>
      <c r="K78" s="542"/>
    </row>
    <row r="79" spans="2:177" ht="13.2">
      <c r="G79" s="566"/>
      <c r="H79" s="566"/>
      <c r="I79" s="566"/>
      <c r="J79" s="566"/>
      <c r="K79" s="542"/>
    </row>
    <row r="80" spans="2:177" ht="13.2">
      <c r="G80" s="566"/>
      <c r="H80" s="566"/>
      <c r="I80" s="566"/>
      <c r="J80" s="566"/>
      <c r="K80" s="542"/>
    </row>
    <row r="81" spans="7:11" ht="13.2">
      <c r="G81" s="569"/>
      <c r="H81" s="566"/>
      <c r="I81" s="566"/>
      <c r="J81" s="566"/>
      <c r="K81" s="542"/>
    </row>
    <row r="82" spans="7:11" ht="13.2">
      <c r="G82" s="569"/>
      <c r="H82" s="566"/>
      <c r="I82" s="566"/>
      <c r="J82" s="566"/>
      <c r="K82" s="542"/>
    </row>
    <row r="83" spans="7:11" ht="13.2">
      <c r="G83" s="569"/>
      <c r="H83" s="566"/>
      <c r="I83" s="566"/>
      <c r="J83" s="566"/>
      <c r="K83" s="542"/>
    </row>
    <row r="84" spans="7:11" ht="13.2">
      <c r="G84" s="569"/>
      <c r="H84" s="566"/>
      <c r="I84" s="566"/>
      <c r="J84" s="566"/>
      <c r="K84" s="542"/>
    </row>
    <row r="85" spans="7:11" ht="13.2">
      <c r="G85" s="569"/>
      <c r="H85" s="566"/>
      <c r="I85" s="566"/>
      <c r="J85" s="566"/>
      <c r="K85" s="542"/>
    </row>
    <row r="86" spans="7:11" ht="13.2">
      <c r="G86" s="569"/>
      <c r="H86" s="566"/>
      <c r="I86" s="566"/>
      <c r="J86" s="566"/>
      <c r="K86" s="542"/>
    </row>
    <row r="87" spans="7:11" ht="13.2">
      <c r="G87" s="569"/>
      <c r="H87" s="566"/>
      <c r="I87" s="566"/>
      <c r="J87" s="566"/>
      <c r="K87" s="542"/>
    </row>
    <row r="88" spans="7:11" ht="13.2">
      <c r="G88" s="569"/>
      <c r="H88" s="566"/>
      <c r="I88" s="566"/>
      <c r="J88" s="566"/>
      <c r="K88" s="542"/>
    </row>
    <row r="89" spans="7:11" ht="13.2">
      <c r="G89" s="569"/>
      <c r="H89" s="566"/>
      <c r="I89" s="566"/>
      <c r="J89" s="566"/>
      <c r="K89" s="542"/>
    </row>
    <row r="90" spans="7:11" ht="13.2">
      <c r="G90" s="569"/>
      <c r="H90" s="566"/>
      <c r="I90" s="566"/>
      <c r="J90" s="566"/>
      <c r="K90" s="542"/>
    </row>
    <row r="91" spans="7:11" ht="13.2">
      <c r="G91" s="569"/>
      <c r="H91" s="566"/>
      <c r="I91" s="566"/>
      <c r="J91" s="566"/>
      <c r="K91" s="542"/>
    </row>
    <row r="92" spans="7:11" ht="13.2">
      <c r="H92" s="566"/>
      <c r="I92" s="566"/>
      <c r="J92" s="566"/>
      <c r="K92" s="542"/>
    </row>
    <row r="93" spans="7:11" ht="13.2">
      <c r="H93" s="566"/>
      <c r="I93" s="566"/>
      <c r="J93" s="566"/>
    </row>
    <row r="94" spans="7:11" ht="13.2">
      <c r="H94" s="566"/>
      <c r="I94" s="566"/>
      <c r="J94" s="566"/>
    </row>
    <row r="95" spans="7:11" ht="13.2">
      <c r="H95" s="566"/>
      <c r="I95" s="566"/>
      <c r="J95" s="566"/>
    </row>
    <row r="96" spans="7:11" ht="13.2">
      <c r="H96" s="566"/>
      <c r="I96" s="566"/>
      <c r="J96" s="566"/>
    </row>
    <row r="97" spans="8:10" ht="13.2">
      <c r="H97" s="566"/>
      <c r="I97" s="566"/>
      <c r="J97" s="566"/>
    </row>
    <row r="98" spans="8:10" ht="13.2">
      <c r="H98" s="566"/>
      <c r="I98" s="566"/>
      <c r="J98" s="566"/>
    </row>
    <row r="99" spans="8:10" ht="13.2">
      <c r="H99" s="566"/>
      <c r="I99" s="566"/>
      <c r="J99" s="566"/>
    </row>
    <row r="100" spans="8:10" ht="13.2">
      <c r="H100" s="569"/>
      <c r="I100" s="566"/>
      <c r="J100" s="566"/>
    </row>
    <row r="101" spans="8:10" ht="13.2">
      <c r="H101" s="569"/>
      <c r="I101" s="566"/>
      <c r="J101" s="542"/>
    </row>
    <row r="102" spans="8:10" ht="13.2">
      <c r="H102" s="569"/>
      <c r="I102" s="566"/>
      <c r="J102" s="542"/>
    </row>
    <row r="103" spans="8:10" ht="13.2">
      <c r="H103" s="569"/>
      <c r="I103" s="569"/>
      <c r="J103" s="542"/>
    </row>
    <row r="104" spans="8:10" ht="13.2">
      <c r="H104" s="569"/>
      <c r="I104" s="569"/>
      <c r="J104" s="542"/>
    </row>
    <row r="105" spans="8:10" ht="13.2">
      <c r="H105" s="569"/>
      <c r="I105" s="569"/>
      <c r="J105" s="542"/>
    </row>
    <row r="106" spans="8:10" ht="13.2">
      <c r="H106" s="569"/>
      <c r="I106" s="569"/>
      <c r="J106" s="542"/>
    </row>
    <row r="107" spans="8:10" ht="13.2">
      <c r="H107" s="569"/>
      <c r="I107" s="569"/>
      <c r="J107" s="542"/>
    </row>
    <row r="108" spans="8:10" ht="13.2">
      <c r="H108" s="569"/>
      <c r="I108" s="569"/>
      <c r="J108" s="542"/>
    </row>
    <row r="109" spans="8:10" ht="13.2">
      <c r="H109" s="569"/>
      <c r="I109" s="569"/>
      <c r="J109" s="542"/>
    </row>
    <row r="110" spans="8:10" ht="13.2">
      <c r="H110" s="569"/>
      <c r="I110" s="569"/>
      <c r="J110" s="542"/>
    </row>
    <row r="111" spans="8:10" ht="13.2">
      <c r="I111" s="569"/>
      <c r="J111" s="542"/>
    </row>
    <row r="112" spans="8:10" ht="13.2">
      <c r="I112" s="569"/>
    </row>
    <row r="113" spans="9:9" ht="13.2">
      <c r="I113" s="569"/>
    </row>
  </sheetData>
  <mergeCells count="5">
    <mergeCell ref="E1:F1"/>
    <mergeCell ref="A2:F2"/>
    <mergeCell ref="A5:F5"/>
    <mergeCell ref="A6:F6"/>
    <mergeCell ref="A61:B6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Feuil13" enableFormatConditionsCalculation="0">
    <tabColor rgb="FF00B050"/>
  </sheetPr>
  <dimension ref="A1:N40"/>
  <sheetViews>
    <sheetView showZeros="0" topLeftCell="A23" workbookViewId="0">
      <selection activeCell="L18" sqref="L18"/>
    </sheetView>
  </sheetViews>
  <sheetFormatPr baseColWidth="10" defaultColWidth="11.44140625" defaultRowHeight="11.4"/>
  <cols>
    <col min="1" max="1" width="12.44140625" style="55" customWidth="1"/>
    <col min="2" max="2" width="69.6640625" style="55" customWidth="1"/>
    <col min="3" max="3" width="11.44140625" style="55" customWidth="1"/>
    <col min="4" max="4" width="10.33203125" style="55" customWidth="1"/>
    <col min="5" max="5" width="12.5546875" style="55" customWidth="1"/>
    <col min="6" max="6" width="14.109375" style="61" customWidth="1"/>
    <col min="7" max="16384" width="11.44140625" style="55"/>
  </cols>
  <sheetData>
    <row r="1" spans="1:7" ht="15" customHeight="1"/>
    <row r="2" spans="1:7" ht="24" customHeight="1">
      <c r="A2" s="2082" t="str">
        <f>'fiche technique'!A16</f>
        <v xml:space="preserve">Bilan de la campagne 2014 de recrutement et d'affectation des maîtres de conférences et des professeurs des universités </v>
      </c>
      <c r="B2" s="2082"/>
      <c r="C2" s="2082"/>
      <c r="D2" s="2082"/>
      <c r="E2" s="2082"/>
      <c r="F2" s="2082"/>
    </row>
    <row r="3" spans="1:7" ht="15" customHeight="1"/>
    <row r="4" spans="1:7" ht="20.25" customHeight="1">
      <c r="A4" s="2135" t="s">
        <v>319</v>
      </c>
      <c r="B4" s="2135"/>
      <c r="C4" s="2135"/>
      <c r="D4" s="2135"/>
      <c r="E4" s="2135"/>
      <c r="F4" s="2135"/>
    </row>
    <row r="5" spans="1:7" ht="20.25" customHeight="1">
      <c r="A5" s="2134" t="s">
        <v>234</v>
      </c>
      <c r="B5" s="2134"/>
      <c r="C5" s="2134"/>
      <c r="D5" s="2134"/>
      <c r="E5" s="2134"/>
      <c r="F5" s="2134"/>
    </row>
    <row r="6" spans="1:7" ht="15" customHeight="1">
      <c r="A6" s="60"/>
      <c r="B6" s="60"/>
      <c r="C6" s="60"/>
      <c r="D6" s="60"/>
      <c r="E6" s="60"/>
      <c r="F6" s="267"/>
    </row>
    <row r="7" spans="1:7" ht="20.25" customHeight="1">
      <c r="A7" s="2084" t="s">
        <v>1003</v>
      </c>
      <c r="B7" s="2084"/>
      <c r="C7" s="2084"/>
      <c r="D7" s="2084"/>
      <c r="E7" s="2084"/>
      <c r="F7" s="2084"/>
    </row>
    <row r="8" spans="1:7" ht="15" customHeight="1" thickBot="1">
      <c r="A8" s="57" t="s">
        <v>7</v>
      </c>
      <c r="B8" s="57"/>
      <c r="C8" s="57"/>
      <c r="D8" s="57"/>
      <c r="E8" s="57"/>
      <c r="F8" s="58"/>
    </row>
    <row r="9" spans="1:7" s="59" customFormat="1" ht="65.25" customHeight="1">
      <c r="A9" s="1900" t="s">
        <v>8</v>
      </c>
      <c r="B9" s="1901" t="s">
        <v>125</v>
      </c>
      <c r="C9" s="1902" t="s">
        <v>712</v>
      </c>
      <c r="D9" s="1902" t="s">
        <v>158</v>
      </c>
      <c r="E9" s="1902" t="s">
        <v>146</v>
      </c>
      <c r="F9" s="1903" t="s">
        <v>307</v>
      </c>
    </row>
    <row r="10" spans="1:7" s="60" customFormat="1" ht="14.1" customHeight="1">
      <c r="A10" s="268" t="s">
        <v>9</v>
      </c>
      <c r="B10" s="262" t="s">
        <v>10</v>
      </c>
      <c r="C10" s="263">
        <v>6</v>
      </c>
      <c r="D10" s="263">
        <v>0</v>
      </c>
      <c r="E10" s="263">
        <v>6</v>
      </c>
      <c r="F10" s="976">
        <f t="shared" ref="F10:F16" si="0">E10/C10</f>
        <v>1</v>
      </c>
      <c r="G10" s="56"/>
    </row>
    <row r="11" spans="1:7" s="60" customFormat="1" ht="14.1" customHeight="1">
      <c r="A11" s="269" t="s">
        <v>11</v>
      </c>
      <c r="B11" s="264" t="s">
        <v>12</v>
      </c>
      <c r="C11" s="265">
        <v>6</v>
      </c>
      <c r="D11" s="265">
        <v>3</v>
      </c>
      <c r="E11" s="265">
        <v>3</v>
      </c>
      <c r="F11" s="977">
        <f t="shared" si="0"/>
        <v>0.5</v>
      </c>
      <c r="G11" s="56"/>
    </row>
    <row r="12" spans="1:7" s="60" customFormat="1" ht="14.1" customHeight="1">
      <c r="A12" s="269" t="s">
        <v>13</v>
      </c>
      <c r="B12" s="264" t="s">
        <v>14</v>
      </c>
      <c r="C12" s="265">
        <v>1</v>
      </c>
      <c r="D12" s="265"/>
      <c r="E12" s="265">
        <v>1</v>
      </c>
      <c r="F12" s="977">
        <f t="shared" si="0"/>
        <v>1</v>
      </c>
      <c r="G12" s="56"/>
    </row>
    <row r="13" spans="1:7" s="60" customFormat="1" ht="14.1" customHeight="1">
      <c r="A13" s="471" t="s">
        <v>15</v>
      </c>
      <c r="B13" s="264" t="s">
        <v>16</v>
      </c>
      <c r="C13" s="265">
        <v>1</v>
      </c>
      <c r="D13" s="265"/>
      <c r="E13" s="265">
        <v>1</v>
      </c>
      <c r="F13" s="977">
        <f t="shared" si="0"/>
        <v>1</v>
      </c>
      <c r="G13" s="56"/>
    </row>
    <row r="14" spans="1:7" s="60" customFormat="1" ht="14.1" customHeight="1">
      <c r="A14" s="269" t="s">
        <v>17</v>
      </c>
      <c r="B14" s="264" t="s">
        <v>18</v>
      </c>
      <c r="C14" s="265">
        <v>3</v>
      </c>
      <c r="D14" s="265"/>
      <c r="E14" s="266">
        <v>3</v>
      </c>
      <c r="F14" s="977">
        <f t="shared" si="0"/>
        <v>1</v>
      </c>
      <c r="G14" s="56"/>
    </row>
    <row r="15" spans="1:7" s="60" customFormat="1" ht="14.1" customHeight="1">
      <c r="A15" s="269" t="s">
        <v>19</v>
      </c>
      <c r="B15" s="264" t="s">
        <v>730</v>
      </c>
      <c r="C15" s="265">
        <v>5</v>
      </c>
      <c r="D15" s="265"/>
      <c r="E15" s="266">
        <v>5</v>
      </c>
      <c r="F15" s="977">
        <f t="shared" si="0"/>
        <v>1</v>
      </c>
      <c r="G15" s="56"/>
    </row>
    <row r="16" spans="1:7" s="60" customFormat="1" ht="14.1" customHeight="1">
      <c r="A16" s="471" t="s">
        <v>25</v>
      </c>
      <c r="B16" s="264" t="s">
        <v>22</v>
      </c>
      <c r="C16" s="265">
        <v>1</v>
      </c>
      <c r="D16" s="265"/>
      <c r="E16" s="266">
        <v>1</v>
      </c>
      <c r="F16" s="977">
        <f t="shared" si="0"/>
        <v>1</v>
      </c>
      <c r="G16" s="56"/>
    </row>
    <row r="17" spans="1:14" s="60" customFormat="1" ht="14.1" customHeight="1">
      <c r="A17" s="269">
        <v>16</v>
      </c>
      <c r="B17" s="264" t="s">
        <v>39</v>
      </c>
      <c r="C17" s="265">
        <v>1</v>
      </c>
      <c r="D17" s="265"/>
      <c r="E17" s="265">
        <v>1</v>
      </c>
      <c r="F17" s="977">
        <f>E17/C17</f>
        <v>1</v>
      </c>
      <c r="G17" s="56"/>
    </row>
    <row r="18" spans="1:14" s="60" customFormat="1" ht="14.1" customHeight="1">
      <c r="A18" s="269">
        <v>18</v>
      </c>
      <c r="B18" s="1540" t="s">
        <v>930</v>
      </c>
      <c r="C18" s="265">
        <v>1</v>
      </c>
      <c r="D18" s="265"/>
      <c r="E18" s="265">
        <v>1</v>
      </c>
      <c r="F18" s="977">
        <f>E18/C18</f>
        <v>1</v>
      </c>
      <c r="G18" s="56"/>
      <c r="K18" s="1801"/>
    </row>
    <row r="19" spans="1:14" s="60" customFormat="1" ht="14.1" customHeight="1">
      <c r="A19" s="269">
        <v>23</v>
      </c>
      <c r="B19" s="264" t="s">
        <v>928</v>
      </c>
      <c r="C19" s="265">
        <v>2</v>
      </c>
      <c r="D19" s="265"/>
      <c r="E19" s="265">
        <v>2</v>
      </c>
      <c r="F19" s="977">
        <f>E19/C19</f>
        <v>1</v>
      </c>
      <c r="G19" s="56"/>
      <c r="I19" s="1756"/>
    </row>
    <row r="20" spans="1:14" s="60" customFormat="1" ht="14.1" customHeight="1">
      <c r="A20" s="269" t="s">
        <v>56</v>
      </c>
      <c r="B20" s="264" t="s">
        <v>57</v>
      </c>
      <c r="C20" s="265">
        <v>1</v>
      </c>
      <c r="D20" s="265"/>
      <c r="E20" s="265">
        <v>1</v>
      </c>
      <c r="F20" s="977">
        <f t="shared" ref="F20:F32" si="1">E20/C20</f>
        <v>1</v>
      </c>
      <c r="G20" s="56"/>
    </row>
    <row r="21" spans="1:14" s="60" customFormat="1" ht="14.1" customHeight="1">
      <c r="A21" s="269" t="s">
        <v>58</v>
      </c>
      <c r="B21" s="172" t="s">
        <v>59</v>
      </c>
      <c r="C21" s="265">
        <v>5</v>
      </c>
      <c r="D21" s="265"/>
      <c r="E21" s="265">
        <v>5</v>
      </c>
      <c r="F21" s="977">
        <f t="shared" si="1"/>
        <v>1</v>
      </c>
      <c r="G21" s="56"/>
    </row>
    <row r="22" spans="1:14" s="60" customFormat="1" ht="14.1" customHeight="1">
      <c r="A22" s="269" t="s">
        <v>60</v>
      </c>
      <c r="B22" s="172" t="s">
        <v>61</v>
      </c>
      <c r="C22" s="265">
        <v>2</v>
      </c>
      <c r="D22" s="265"/>
      <c r="E22" s="265">
        <v>2</v>
      </c>
      <c r="F22" s="977">
        <f t="shared" si="1"/>
        <v>1</v>
      </c>
      <c r="G22" s="56"/>
      <c r="K22" s="1756">
        <f>232/2437</f>
        <v>9.5199015182601557E-2</v>
      </c>
    </row>
    <row r="23" spans="1:14" s="60" customFormat="1" ht="14.1" customHeight="1">
      <c r="A23" s="269">
        <v>31</v>
      </c>
      <c r="B23" s="264" t="s">
        <v>65</v>
      </c>
      <c r="C23" s="265">
        <v>1</v>
      </c>
      <c r="D23" s="265"/>
      <c r="E23" s="265">
        <v>1</v>
      </c>
      <c r="F23" s="977">
        <f t="shared" si="1"/>
        <v>1</v>
      </c>
      <c r="G23" s="56"/>
    </row>
    <row r="24" spans="1:14" s="60" customFormat="1" ht="14.1" customHeight="1">
      <c r="A24" s="269">
        <v>33</v>
      </c>
      <c r="B24" s="264" t="s">
        <v>69</v>
      </c>
      <c r="C24" s="265">
        <v>1</v>
      </c>
      <c r="D24" s="265"/>
      <c r="E24" s="265">
        <v>1</v>
      </c>
      <c r="F24" s="977">
        <f t="shared" si="1"/>
        <v>1</v>
      </c>
      <c r="G24" s="56"/>
    </row>
    <row r="25" spans="1:14" s="60" customFormat="1" ht="14.1" customHeight="1">
      <c r="A25" s="269">
        <v>35</v>
      </c>
      <c r="B25" s="172" t="s">
        <v>73</v>
      </c>
      <c r="C25" s="265">
        <v>2</v>
      </c>
      <c r="D25" s="266"/>
      <c r="E25" s="265">
        <v>2</v>
      </c>
      <c r="F25" s="977">
        <f t="shared" si="1"/>
        <v>1</v>
      </c>
      <c r="G25" s="56"/>
      <c r="J25" s="1798"/>
      <c r="N25" s="1756">
        <f>2120/2358</f>
        <v>0.89906700593723499</v>
      </c>
    </row>
    <row r="26" spans="1:14" s="60" customFormat="1" ht="14.1" customHeight="1">
      <c r="A26" s="269">
        <v>36</v>
      </c>
      <c r="B26" s="172" t="s">
        <v>75</v>
      </c>
      <c r="C26" s="265">
        <v>2</v>
      </c>
      <c r="D26" s="266"/>
      <c r="E26" s="265">
        <v>2</v>
      </c>
      <c r="F26" s="977">
        <f t="shared" si="1"/>
        <v>1</v>
      </c>
      <c r="G26" s="56"/>
    </row>
    <row r="27" spans="1:14" s="60" customFormat="1" ht="14.1" customHeight="1">
      <c r="A27" s="269" t="s">
        <v>78</v>
      </c>
      <c r="B27" s="172" t="s">
        <v>929</v>
      </c>
      <c r="C27" s="265">
        <v>1</v>
      </c>
      <c r="D27" s="265">
        <v>0</v>
      </c>
      <c r="E27" s="265">
        <v>1</v>
      </c>
      <c r="F27" s="977">
        <f t="shared" si="1"/>
        <v>1</v>
      </c>
      <c r="G27" s="56"/>
      <c r="L27" s="1756"/>
    </row>
    <row r="28" spans="1:14" s="60" customFormat="1" ht="14.1" customHeight="1">
      <c r="A28" s="543">
        <v>62</v>
      </c>
      <c r="B28" s="544" t="s">
        <v>83</v>
      </c>
      <c r="C28" s="265">
        <v>1</v>
      </c>
      <c r="D28" s="265"/>
      <c r="E28" s="265">
        <v>1</v>
      </c>
      <c r="F28" s="977">
        <f t="shared" si="1"/>
        <v>1</v>
      </c>
      <c r="G28" s="56"/>
    </row>
    <row r="29" spans="1:14" s="60" customFormat="1" ht="14.1" customHeight="1">
      <c r="A29" s="1920">
        <v>65</v>
      </c>
      <c r="B29" s="172" t="s">
        <v>88</v>
      </c>
      <c r="C29" s="265">
        <v>2</v>
      </c>
      <c r="D29" s="1941"/>
      <c r="E29" s="265">
        <v>2</v>
      </c>
      <c r="F29" s="977">
        <f t="shared" si="1"/>
        <v>1</v>
      </c>
      <c r="G29" s="56"/>
    </row>
    <row r="30" spans="1:14" s="60" customFormat="1" ht="14.1" customHeight="1">
      <c r="A30" s="175">
        <v>68</v>
      </c>
      <c r="B30" s="172" t="s">
        <v>94</v>
      </c>
      <c r="C30" s="265">
        <v>1</v>
      </c>
      <c r="D30" s="265"/>
      <c r="E30" s="265">
        <v>1</v>
      </c>
      <c r="F30" s="977">
        <f t="shared" si="1"/>
        <v>1</v>
      </c>
      <c r="G30" s="56"/>
    </row>
    <row r="31" spans="1:14" s="60" customFormat="1" ht="14.1" customHeight="1">
      <c r="A31" s="175">
        <v>69</v>
      </c>
      <c r="B31" s="172" t="s">
        <v>96</v>
      </c>
      <c r="C31" s="265">
        <v>1</v>
      </c>
      <c r="D31" s="265"/>
      <c r="E31" s="265">
        <v>1</v>
      </c>
      <c r="F31" s="977">
        <f t="shared" si="1"/>
        <v>1</v>
      </c>
      <c r="G31" s="56"/>
    </row>
    <row r="32" spans="1:14" s="60" customFormat="1" ht="14.1" customHeight="1">
      <c r="A32" s="175">
        <v>85</v>
      </c>
      <c r="B32" s="172" t="s">
        <v>520</v>
      </c>
      <c r="C32" s="173">
        <v>1</v>
      </c>
      <c r="D32" s="859"/>
      <c r="E32" s="173">
        <v>1</v>
      </c>
      <c r="F32" s="977">
        <f t="shared" si="1"/>
        <v>1</v>
      </c>
      <c r="G32" s="56"/>
    </row>
    <row r="33" spans="1:7" s="60" customFormat="1" ht="14.1" customHeight="1">
      <c r="A33" s="175" t="s">
        <v>521</v>
      </c>
      <c r="B33" s="172" t="s">
        <v>522</v>
      </c>
      <c r="C33" s="173">
        <v>1</v>
      </c>
      <c r="D33" s="859">
        <v>1</v>
      </c>
      <c r="E33" s="173"/>
      <c r="F33" s="977"/>
      <c r="G33" s="56"/>
    </row>
    <row r="34" spans="1:7" s="60" customFormat="1" ht="14.1" customHeight="1" thickBot="1">
      <c r="A34" s="2136" t="s">
        <v>105</v>
      </c>
      <c r="B34" s="2137"/>
      <c r="C34" s="979">
        <f>SUM(C10:C33)</f>
        <v>49</v>
      </c>
      <c r="D34" s="979">
        <f>SUM(D10:D33)</f>
        <v>4</v>
      </c>
      <c r="E34" s="979">
        <f>SUM(E10:E33)</f>
        <v>45</v>
      </c>
      <c r="F34" s="978">
        <f>E34/C34</f>
        <v>0.91836734693877553</v>
      </c>
      <c r="G34" s="56"/>
    </row>
    <row r="35" spans="1:7" s="60" customFormat="1" ht="13.2">
      <c r="A35" s="1537" t="str">
        <f>'fiche technique'!A9</f>
        <v>Source: GALAXIE (ANTARES-ANTEE &amp; FIDIS), DGRH A1-1 &amp; DGRH A2, juin 2014</v>
      </c>
      <c r="B35" s="55"/>
      <c r="C35" s="55"/>
      <c r="D35" s="55"/>
      <c r="E35" s="55"/>
      <c r="F35" s="61"/>
      <c r="G35" s="56"/>
    </row>
    <row r="36" spans="1:7" s="60" customFormat="1" ht="13.2">
      <c r="A36" s="515" t="s">
        <v>943</v>
      </c>
      <c r="B36" s="55"/>
      <c r="C36" s="55"/>
      <c r="D36" s="55"/>
      <c r="E36" s="55"/>
      <c r="F36" s="61"/>
      <c r="G36" s="56"/>
    </row>
    <row r="37" spans="1:7" s="60" customFormat="1" ht="13.2">
      <c r="A37" s="55"/>
      <c r="B37" s="55"/>
      <c r="C37" s="55"/>
      <c r="D37" s="55"/>
      <c r="E37" s="55"/>
      <c r="F37" s="61"/>
      <c r="G37" s="56"/>
    </row>
    <row r="38" spans="1:7" s="60" customFormat="1" ht="13.2">
      <c r="A38" s="55"/>
      <c r="B38" s="55"/>
      <c r="C38" s="55"/>
      <c r="D38" s="55"/>
      <c r="E38" s="55"/>
      <c r="F38" s="61"/>
      <c r="G38" s="56"/>
    </row>
    <row r="39" spans="1:7" s="60" customFormat="1" ht="13.2">
      <c r="A39" s="55"/>
      <c r="B39" s="55"/>
      <c r="C39" s="55"/>
      <c r="D39" s="55"/>
      <c r="E39" s="55"/>
      <c r="F39" s="61"/>
      <c r="G39" s="56"/>
    </row>
    <row r="40" spans="1:7" s="60" customFormat="1">
      <c r="A40" s="55"/>
      <c r="B40" s="55"/>
      <c r="C40" s="55"/>
      <c r="D40" s="55"/>
      <c r="E40" s="55"/>
      <c r="F40" s="61"/>
      <c r="G40" s="55"/>
    </row>
  </sheetData>
  <mergeCells count="5">
    <mergeCell ref="A5:F5"/>
    <mergeCell ref="A7:F7"/>
    <mergeCell ref="A2:F2"/>
    <mergeCell ref="A4:F4"/>
    <mergeCell ref="A34:B34"/>
  </mergeCells>
  <phoneticPr fontId="0" type="noConversion"/>
  <printOptions horizontalCentered="1"/>
  <pageMargins left="0.19685039370078741" right="0.19685039370078741" top="0.59055118110236227" bottom="0.59055118110236227" header="0.31496062992125984" footer="0.31496062992125984"/>
  <pageSetup paperSize="9" scale="85" orientation="landscape" r:id="rId1"/>
  <headerFooter alignWithMargins="0">
    <oddHeader>&amp;LDGRH A1-1</oddHeader>
    <oddFooter>&amp;CPage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Feuil39">
    <tabColor rgb="FFFFFF66"/>
  </sheetPr>
  <dimension ref="A1:P29"/>
  <sheetViews>
    <sheetView showZeros="0" workbookViewId="0">
      <selection activeCell="L18" sqref="L18"/>
    </sheetView>
  </sheetViews>
  <sheetFormatPr baseColWidth="10" defaultColWidth="11.44140625" defaultRowHeight="11.4"/>
  <cols>
    <col min="1" max="1" width="12.44140625" style="523" customWidth="1"/>
    <col min="2" max="2" width="53.6640625" style="523" customWidth="1"/>
    <col min="3" max="5" width="14.109375" style="523" customWidth="1"/>
    <col min="6" max="6" width="14.109375" style="524" customWidth="1"/>
    <col min="7" max="9" width="3" style="523" customWidth="1"/>
    <col min="10" max="10" width="3.109375" style="523" customWidth="1"/>
    <col min="11" max="11" width="4.33203125" style="523" customWidth="1"/>
    <col min="12" max="16384" width="11.44140625" style="523"/>
  </cols>
  <sheetData>
    <row r="1" spans="1:16" ht="15" customHeight="1">
      <c r="A1" s="555"/>
      <c r="E1" s="2129"/>
      <c r="F1" s="2129"/>
      <c r="G1" s="525"/>
      <c r="H1" s="525"/>
      <c r="I1" s="525"/>
      <c r="J1" s="525"/>
      <c r="K1" s="525"/>
    </row>
    <row r="2" spans="1:16" s="529" customFormat="1" ht="24" customHeight="1">
      <c r="A2" s="2073" t="str">
        <f>'fiche technique'!A5</f>
        <v>Bilan de la campagne 2014 de recrutement et d'affectation des professeurs des universités (session synchronisée - ANTEE)</v>
      </c>
      <c r="B2" s="2073"/>
      <c r="C2" s="2073"/>
      <c r="D2" s="2073"/>
      <c r="E2" s="2073"/>
      <c r="F2" s="2073"/>
      <c r="G2" s="525"/>
      <c r="H2" s="525"/>
      <c r="I2" s="525"/>
      <c r="J2" s="525"/>
      <c r="K2" s="525"/>
    </row>
    <row r="3" spans="1:16" s="529" customFormat="1" ht="15" customHeight="1">
      <c r="A3" s="557"/>
      <c r="B3" s="557"/>
      <c r="C3" s="557"/>
      <c r="D3" s="557"/>
      <c r="E3" s="557"/>
      <c r="F3" s="558"/>
      <c r="G3" s="525"/>
      <c r="H3" s="525"/>
      <c r="I3" s="525"/>
      <c r="J3" s="525"/>
      <c r="K3" s="525"/>
    </row>
    <row r="4" spans="1:16" s="529" customFormat="1" ht="20.25" customHeight="1">
      <c r="A4" s="532" t="s">
        <v>118</v>
      </c>
      <c r="B4" s="532"/>
      <c r="C4" s="532"/>
      <c r="D4" s="532"/>
      <c r="E4" s="532"/>
      <c r="F4" s="533"/>
      <c r="G4" s="525"/>
      <c r="H4" s="525"/>
      <c r="I4" s="525"/>
      <c r="J4" s="525"/>
      <c r="K4" s="525"/>
    </row>
    <row r="5" spans="1:16" s="529" customFormat="1" ht="20.25" customHeight="1">
      <c r="A5" s="532" t="s">
        <v>234</v>
      </c>
      <c r="B5" s="532"/>
      <c r="C5" s="532"/>
      <c r="D5" s="532"/>
      <c r="E5" s="532"/>
      <c r="F5" s="533"/>
      <c r="G5" s="525"/>
      <c r="H5" s="525"/>
      <c r="I5" s="525"/>
      <c r="J5" s="525"/>
      <c r="K5" s="525"/>
    </row>
    <row r="6" spans="1:16" ht="15" customHeight="1">
      <c r="A6" s="525"/>
      <c r="B6" s="525"/>
      <c r="C6" s="525"/>
      <c r="D6" s="525"/>
      <c r="E6" s="525"/>
      <c r="F6" s="525"/>
      <c r="G6" s="525"/>
      <c r="H6" s="525"/>
      <c r="I6" s="525"/>
      <c r="J6" s="525"/>
      <c r="K6" s="525"/>
    </row>
    <row r="7" spans="1:16" s="571" customFormat="1" ht="20.25" customHeight="1">
      <c r="A7" s="557" t="s">
        <v>1004</v>
      </c>
      <c r="B7" s="559"/>
      <c r="C7" s="557"/>
      <c r="D7" s="557"/>
      <c r="E7" s="557"/>
      <c r="F7" s="558"/>
      <c r="G7" s="525"/>
      <c r="H7" s="525"/>
      <c r="I7" s="525"/>
      <c r="J7" s="525"/>
      <c r="K7" s="525"/>
    </row>
    <row r="8" spans="1:16" s="571" customFormat="1" ht="15" customHeight="1" thickBot="1">
      <c r="A8" s="570"/>
      <c r="B8" s="570"/>
      <c r="C8" s="570"/>
      <c r="D8" s="570"/>
      <c r="E8" s="570"/>
      <c r="F8" s="687"/>
      <c r="G8" s="525"/>
      <c r="H8" s="525"/>
      <c r="I8" s="525"/>
      <c r="J8" s="525"/>
      <c r="K8" s="525"/>
    </row>
    <row r="9" spans="1:16" ht="26.4">
      <c r="A9" s="1891" t="s">
        <v>8</v>
      </c>
      <c r="B9" s="1895" t="s">
        <v>125</v>
      </c>
      <c r="C9" s="775" t="s">
        <v>109</v>
      </c>
      <c r="D9" s="775" t="s">
        <v>158</v>
      </c>
      <c r="E9" s="775" t="s">
        <v>146</v>
      </c>
      <c r="F9" s="1899" t="s">
        <v>307</v>
      </c>
      <c r="G9" s="525"/>
      <c r="H9" s="525"/>
      <c r="I9" s="525"/>
      <c r="J9" s="525"/>
      <c r="K9" s="525"/>
    </row>
    <row r="10" spans="1:16" ht="13.2">
      <c r="A10" s="688" t="s">
        <v>17</v>
      </c>
      <c r="B10" s="544" t="s">
        <v>264</v>
      </c>
      <c r="C10" s="689">
        <v>2</v>
      </c>
      <c r="D10" s="980">
        <v>0</v>
      </c>
      <c r="E10" s="689">
        <v>2</v>
      </c>
      <c r="F10" s="972">
        <f>E10/C10</f>
        <v>1</v>
      </c>
      <c r="G10" s="525"/>
      <c r="H10" s="525"/>
      <c r="I10" s="525"/>
      <c r="J10" s="525"/>
      <c r="K10" s="525"/>
      <c r="L10"/>
      <c r="M10" s="523" t="s">
        <v>728</v>
      </c>
      <c r="N10" s="523" t="s">
        <v>729</v>
      </c>
    </row>
    <row r="11" spans="1:16" ht="13.2">
      <c r="A11" s="543" t="s">
        <v>19</v>
      </c>
      <c r="B11" s="544" t="s">
        <v>20</v>
      </c>
      <c r="C11" s="689">
        <v>2</v>
      </c>
      <c r="D11" s="980">
        <v>1</v>
      </c>
      <c r="E11" s="689">
        <v>1</v>
      </c>
      <c r="F11" s="972">
        <f>E11/C11</f>
        <v>0.5</v>
      </c>
      <c r="G11" s="525"/>
      <c r="H11" s="525"/>
      <c r="I11" s="525"/>
      <c r="J11" s="525"/>
      <c r="K11" s="525"/>
      <c r="L11"/>
      <c r="M11" s="523" t="s">
        <v>700</v>
      </c>
      <c r="O11" s="523" t="s">
        <v>567</v>
      </c>
      <c r="P11" s="523" t="s">
        <v>382</v>
      </c>
    </row>
    <row r="12" spans="1:16" ht="13.2">
      <c r="A12" s="543" t="s">
        <v>60</v>
      </c>
      <c r="B12" s="544" t="s">
        <v>61</v>
      </c>
      <c r="C12" s="689">
        <v>1</v>
      </c>
      <c r="D12" s="980">
        <v>0</v>
      </c>
      <c r="E12" s="689">
        <v>1</v>
      </c>
      <c r="F12" s="972">
        <f>E12/C12</f>
        <v>1</v>
      </c>
      <c r="G12" s="525"/>
      <c r="H12" s="525"/>
      <c r="I12" s="525"/>
      <c r="J12" s="525"/>
      <c r="K12" s="525"/>
      <c r="L12"/>
      <c r="M12" s="523" t="s">
        <v>17</v>
      </c>
      <c r="N12" s="523">
        <v>1</v>
      </c>
      <c r="O12" s="523">
        <v>2</v>
      </c>
      <c r="P12" s="523">
        <v>3</v>
      </c>
    </row>
    <row r="13" spans="1:16" ht="13.8" thickBot="1">
      <c r="A13" s="2132" t="s">
        <v>105</v>
      </c>
      <c r="B13" s="2133"/>
      <c r="C13" s="909">
        <f>SUM(C10:C12)</f>
        <v>5</v>
      </c>
      <c r="D13" s="910">
        <f>SUM(D10:D12)</f>
        <v>1</v>
      </c>
      <c r="E13" s="910">
        <f>SUM(E10:E12)</f>
        <v>4</v>
      </c>
      <c r="F13" s="973">
        <f>E13/C13</f>
        <v>0.8</v>
      </c>
      <c r="G13" s="525"/>
      <c r="H13" s="525"/>
      <c r="I13" s="525"/>
      <c r="J13" s="525"/>
      <c r="K13" s="525"/>
      <c r="L13"/>
      <c r="M13" s="523" t="s">
        <v>19</v>
      </c>
      <c r="N13" s="523">
        <v>1</v>
      </c>
      <c r="O13" s="523">
        <v>1</v>
      </c>
      <c r="P13" s="523">
        <v>2</v>
      </c>
    </row>
    <row r="14" spans="1:16" ht="16.2" thickBot="1">
      <c r="A14" s="690" t="str">
        <f>'fiche technique'!A14</f>
        <v>Source: GALAXIE (ANTEE), DGRH A1-1 &amp; DGRH A2, juin 2014</v>
      </c>
      <c r="B14" s="691"/>
      <c r="C14" s="692"/>
      <c r="D14" s="974">
        <f>D13/$C$13</f>
        <v>0.2</v>
      </c>
      <c r="E14" s="975">
        <f>E13/$C$13</f>
        <v>0.8</v>
      </c>
      <c r="F14" s="686"/>
      <c r="G14" s="525"/>
      <c r="H14" s="525"/>
      <c r="I14" s="525"/>
      <c r="J14" s="525"/>
      <c r="K14" s="525"/>
      <c r="L14"/>
      <c r="M14" s="523" t="s">
        <v>60</v>
      </c>
      <c r="O14" s="523">
        <v>1</v>
      </c>
      <c r="P14" s="523">
        <v>1</v>
      </c>
    </row>
    <row r="15" spans="1:16" ht="13.2">
      <c r="G15" s="525"/>
      <c r="H15" s="525"/>
      <c r="I15" s="525"/>
      <c r="J15" s="525"/>
      <c r="K15" s="525"/>
      <c r="L15" s="525"/>
      <c r="M15" s="523" t="s">
        <v>382</v>
      </c>
      <c r="N15" s="523">
        <v>2</v>
      </c>
      <c r="O15" s="523">
        <v>4</v>
      </c>
      <c r="P15" s="523">
        <v>6</v>
      </c>
    </row>
    <row r="16" spans="1:16" ht="13.2">
      <c r="G16" s="525"/>
      <c r="H16" s="525"/>
      <c r="I16" s="525"/>
      <c r="J16" s="525"/>
      <c r="K16" s="525"/>
      <c r="L16" s="525"/>
    </row>
    <row r="17" spans="1:12" ht="13.2">
      <c r="G17" s="525"/>
      <c r="H17" s="525"/>
      <c r="I17" s="525"/>
      <c r="J17" s="525"/>
      <c r="K17" s="525"/>
      <c r="L17" s="525"/>
    </row>
    <row r="18" spans="1:12" ht="13.2">
      <c r="G18" s="525"/>
      <c r="H18" s="525"/>
      <c r="I18" s="525"/>
      <c r="J18" s="525"/>
      <c r="K18" s="525"/>
      <c r="L18" s="525"/>
    </row>
    <row r="19" spans="1:12" ht="13.2">
      <c r="G19" s="525"/>
      <c r="H19" s="525"/>
      <c r="I19" s="525"/>
      <c r="J19" s="525"/>
      <c r="K19" s="525"/>
      <c r="L19" s="525"/>
    </row>
    <row r="20" spans="1:12" ht="13.2">
      <c r="H20" s="566"/>
      <c r="I20" s="566"/>
    </row>
    <row r="21" spans="1:12" ht="13.2">
      <c r="H21" s="566"/>
      <c r="I21" s="566"/>
    </row>
    <row r="22" spans="1:12" ht="13.2">
      <c r="H22" s="566"/>
      <c r="I22" s="566"/>
    </row>
    <row r="23" spans="1:12" ht="13.2">
      <c r="H23" s="566"/>
      <c r="I23" s="566"/>
    </row>
    <row r="24" spans="1:12" ht="13.2">
      <c r="H24" s="566"/>
      <c r="I24" s="566"/>
    </row>
    <row r="25" spans="1:12" ht="13.2">
      <c r="H25" s="566"/>
      <c r="I25" s="566"/>
    </row>
    <row r="26" spans="1:12" ht="13.2">
      <c r="H26" s="566"/>
      <c r="I26" s="566"/>
      <c r="L26" s="805">
        <f>5/669</f>
        <v>7.4738415545590429E-3</v>
      </c>
    </row>
    <row r="27" spans="1:12" ht="13.2">
      <c r="H27" s="566"/>
      <c r="I27" s="566"/>
    </row>
    <row r="29" spans="1:12" ht="13.2">
      <c r="A29" s="783"/>
      <c r="E29" s="783"/>
      <c r="F29" s="783"/>
    </row>
  </sheetData>
  <mergeCells count="3">
    <mergeCell ref="E1:F1"/>
    <mergeCell ref="A2:F2"/>
    <mergeCell ref="A13:B13"/>
  </mergeCells>
  <printOptions horizontalCentered="1"/>
  <pageMargins left="0.39370078740157483" right="0.39370078740157483" top="0.78740157480314965" bottom="0.78740157480314965" header="0.31496062992125984" footer="0.31496062992125984"/>
  <pageSetup paperSize="9" orientation="landscape" r:id="rId1"/>
  <headerFooter alignWithMargins="0">
    <oddHeader>&amp;LDGRH A1-1</oddHeader>
    <oddFooter>&amp;CPage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Feuil41">
    <tabColor rgb="FFFFFF00"/>
  </sheetPr>
  <dimension ref="A1:AL85"/>
  <sheetViews>
    <sheetView showZeros="0" topLeftCell="A8" zoomScaleNormal="100" workbookViewId="0">
      <pane ySplit="1" topLeftCell="A66" activePane="bottomLeft" state="frozen"/>
      <selection activeCell="L18" sqref="L18"/>
      <selection pane="bottomLeft" activeCell="AC82" sqref="AC82"/>
    </sheetView>
  </sheetViews>
  <sheetFormatPr baseColWidth="10" defaultColWidth="10.33203125" defaultRowHeight="13.2"/>
  <cols>
    <col min="1" max="1" width="21.109375" style="460" customWidth="1"/>
    <col min="2" max="28" width="4.109375" style="460" customWidth="1"/>
    <col min="29" max="29" width="6.109375" style="460" bestFit="1" customWidth="1"/>
    <col min="30" max="16384" width="10.33203125" style="460"/>
  </cols>
  <sheetData>
    <row r="1" spans="1:29" ht="15" customHeight="1"/>
    <row r="2" spans="1:29" ht="24" customHeight="1">
      <c r="A2" s="2138" t="str">
        <f>'fiche technique'!A5</f>
        <v>Bilan de la campagne 2014 de recrutement et d'affectation des professeurs des universités (session synchronisée - ANTEE)</v>
      </c>
      <c r="B2" s="2138"/>
      <c r="C2" s="2138"/>
      <c r="D2" s="2138"/>
      <c r="E2" s="2138"/>
      <c r="F2" s="2138"/>
      <c r="G2" s="2138"/>
      <c r="H2" s="2138"/>
      <c r="I2" s="2138"/>
      <c r="J2" s="2138"/>
      <c r="K2" s="2138"/>
      <c r="L2" s="2138"/>
      <c r="M2" s="2138"/>
      <c r="N2" s="2138"/>
      <c r="O2" s="2138"/>
      <c r="P2" s="2138"/>
      <c r="Q2" s="2138"/>
      <c r="R2" s="2138"/>
      <c r="S2" s="2138"/>
      <c r="T2" s="2138"/>
      <c r="U2" s="2138"/>
      <c r="V2" s="2138"/>
      <c r="W2" s="2138"/>
      <c r="X2" s="2138"/>
      <c r="Y2" s="2138"/>
      <c r="Z2" s="2138"/>
      <c r="AA2" s="2138"/>
      <c r="AB2" s="2138"/>
      <c r="AC2" s="2138"/>
    </row>
    <row r="3" spans="1:29" ht="15" customHeight="1"/>
    <row r="4" spans="1:29" ht="18" customHeight="1">
      <c r="A4" s="2139" t="s">
        <v>298</v>
      </c>
      <c r="B4" s="2139"/>
      <c r="C4" s="2139"/>
      <c r="D4" s="2139"/>
      <c r="E4" s="2139"/>
      <c r="F4" s="2139"/>
      <c r="G4" s="2139"/>
      <c r="H4" s="2139"/>
      <c r="I4" s="2139"/>
      <c r="J4" s="2139"/>
      <c r="K4" s="2139"/>
      <c r="L4" s="2139"/>
      <c r="M4" s="2139"/>
      <c r="N4" s="2139"/>
      <c r="O4" s="2139"/>
      <c r="P4" s="2139"/>
      <c r="Q4" s="2139"/>
      <c r="R4" s="2139"/>
      <c r="S4" s="2139"/>
      <c r="T4" s="2139"/>
      <c r="U4" s="2139"/>
      <c r="V4" s="2139"/>
      <c r="W4" s="2139"/>
      <c r="X4" s="2139"/>
      <c r="Y4" s="2139"/>
      <c r="Z4" s="2139"/>
      <c r="AA4" s="2139"/>
      <c r="AB4" s="2139"/>
      <c r="AC4" s="2139"/>
    </row>
    <row r="5" spans="1:29" ht="18" customHeight="1">
      <c r="A5" s="2139" t="s">
        <v>374</v>
      </c>
      <c r="B5" s="2139"/>
      <c r="C5" s="2139"/>
      <c r="D5" s="2139"/>
      <c r="E5" s="2139"/>
      <c r="F5" s="2139"/>
      <c r="G5" s="2139"/>
      <c r="H5" s="2139"/>
      <c r="I5" s="2139"/>
      <c r="J5" s="2139"/>
      <c r="K5" s="2139"/>
      <c r="L5" s="2139"/>
      <c r="M5" s="2139"/>
      <c r="N5" s="2139"/>
      <c r="O5" s="2139"/>
      <c r="P5" s="2139"/>
      <c r="Q5" s="2139"/>
      <c r="R5" s="2139"/>
      <c r="S5" s="2139"/>
      <c r="T5" s="2139"/>
      <c r="U5" s="2139"/>
      <c r="V5" s="2139"/>
      <c r="W5" s="2139"/>
      <c r="X5" s="2139"/>
      <c r="Y5" s="2139"/>
      <c r="Z5" s="2139"/>
      <c r="AA5" s="2139"/>
      <c r="AB5" s="2139"/>
      <c r="AC5" s="2139"/>
    </row>
    <row r="6" spans="1:29" ht="18" customHeight="1">
      <c r="A6" s="2140" t="s">
        <v>242</v>
      </c>
      <c r="B6" s="2140"/>
      <c r="C6" s="2140"/>
      <c r="D6" s="2140"/>
      <c r="E6" s="2140"/>
      <c r="F6" s="2140"/>
      <c r="G6" s="2140"/>
      <c r="H6" s="2140"/>
      <c r="I6" s="2140"/>
      <c r="J6" s="2140"/>
      <c r="K6" s="2140"/>
      <c r="L6" s="2140"/>
      <c r="M6" s="2140"/>
      <c r="N6" s="2140"/>
      <c r="O6" s="2140"/>
      <c r="P6" s="2140"/>
      <c r="Q6" s="2140"/>
      <c r="R6" s="2140"/>
      <c r="S6" s="2140"/>
      <c r="T6" s="2140"/>
      <c r="U6" s="2140"/>
      <c r="V6" s="2140"/>
      <c r="W6" s="2140"/>
      <c r="X6" s="2140"/>
      <c r="Y6" s="2140"/>
      <c r="Z6" s="2140"/>
      <c r="AA6" s="2140"/>
      <c r="AB6" s="2140"/>
      <c r="AC6" s="2140"/>
    </row>
    <row r="7" spans="1:29" ht="15" customHeight="1" thickBot="1">
      <c r="A7" s="461"/>
      <c r="B7" s="461"/>
      <c r="C7" s="461"/>
      <c r="D7" s="461"/>
      <c r="E7" s="461"/>
      <c r="F7" s="461"/>
      <c r="G7" s="461"/>
      <c r="H7" s="461"/>
      <c r="I7" s="461"/>
      <c r="J7" s="461"/>
      <c r="K7" s="461"/>
      <c r="L7" s="461"/>
      <c r="M7" s="461"/>
      <c r="N7" s="461"/>
      <c r="O7" s="461"/>
      <c r="P7" s="461"/>
      <c r="Q7" s="461"/>
      <c r="R7" s="461"/>
      <c r="S7" s="461"/>
      <c r="T7" s="461"/>
      <c r="U7" s="461"/>
      <c r="V7" s="461"/>
      <c r="W7" s="461"/>
      <c r="X7" s="461"/>
      <c r="Y7" s="461"/>
      <c r="Z7" s="461"/>
      <c r="AA7" s="461"/>
      <c r="AB7" s="461"/>
      <c r="AC7" s="461"/>
    </row>
    <row r="8" spans="1:29" ht="83.25" customHeight="1">
      <c r="A8" s="472" t="s">
        <v>262</v>
      </c>
      <c r="B8" s="242" t="s">
        <v>169</v>
      </c>
      <c r="C8" s="242" t="s">
        <v>170</v>
      </c>
      <c r="D8" s="243" t="s">
        <v>171</v>
      </c>
      <c r="E8" s="243" t="s">
        <v>172</v>
      </c>
      <c r="F8" s="243" t="s">
        <v>173</v>
      </c>
      <c r="G8" s="243" t="s">
        <v>523</v>
      </c>
      <c r="H8" s="243" t="s">
        <v>204</v>
      </c>
      <c r="I8" s="243" t="s">
        <v>174</v>
      </c>
      <c r="J8" s="243" t="s">
        <v>175</v>
      </c>
      <c r="K8" s="243" t="s">
        <v>176</v>
      </c>
      <c r="L8" s="243" t="s">
        <v>199</v>
      </c>
      <c r="M8" s="243" t="s">
        <v>177</v>
      </c>
      <c r="N8" s="243" t="s">
        <v>178</v>
      </c>
      <c r="O8" s="243" t="s">
        <v>179</v>
      </c>
      <c r="P8" s="243" t="s">
        <v>180</v>
      </c>
      <c r="Q8" s="243" t="s">
        <v>181</v>
      </c>
      <c r="R8" s="243" t="s">
        <v>182</v>
      </c>
      <c r="S8" s="243" t="s">
        <v>183</v>
      </c>
      <c r="T8" s="243" t="s">
        <v>184</v>
      </c>
      <c r="U8" s="243" t="s">
        <v>185</v>
      </c>
      <c r="V8" s="243" t="s">
        <v>186</v>
      </c>
      <c r="W8" s="243" t="s">
        <v>187</v>
      </c>
      <c r="X8" s="243" t="s">
        <v>188</v>
      </c>
      <c r="Y8" s="243" t="s">
        <v>189</v>
      </c>
      <c r="Z8" s="243" t="s">
        <v>190</v>
      </c>
      <c r="AA8" s="243" t="s">
        <v>191</v>
      </c>
      <c r="AB8" s="243" t="s">
        <v>192</v>
      </c>
      <c r="AC8" s="244" t="s">
        <v>138</v>
      </c>
    </row>
    <row r="9" spans="1:29" ht="12.75" customHeight="1">
      <c r="A9" s="473" t="s">
        <v>169</v>
      </c>
      <c r="B9" s="1152">
        <v>9</v>
      </c>
      <c r="C9" s="1152"/>
      <c r="D9" s="1152"/>
      <c r="E9" s="1152"/>
      <c r="F9" s="1152"/>
      <c r="G9" s="1152"/>
      <c r="H9" s="1152"/>
      <c r="I9" s="1152"/>
      <c r="J9" s="1152"/>
      <c r="K9" s="1152"/>
      <c r="L9" s="1152"/>
      <c r="M9" s="1152">
        <v>1</v>
      </c>
      <c r="N9" s="1152"/>
      <c r="O9" s="1152">
        <v>1</v>
      </c>
      <c r="P9" s="1152"/>
      <c r="Q9" s="1152"/>
      <c r="R9" s="1152"/>
      <c r="S9" s="1152"/>
      <c r="T9" s="1152"/>
      <c r="U9" s="1152"/>
      <c r="V9" s="1152"/>
      <c r="W9" s="1152"/>
      <c r="X9" s="1152"/>
      <c r="Y9" s="1152"/>
      <c r="Z9" s="1152"/>
      <c r="AA9" s="1152">
        <v>1</v>
      </c>
      <c r="AB9" s="1152"/>
      <c r="AC9" s="1142">
        <f t="shared" ref="AC9:AC35" si="0">SUM(B9:AB9)</f>
        <v>12</v>
      </c>
    </row>
    <row r="10" spans="1:29" ht="12.75" customHeight="1">
      <c r="A10" s="473" t="s">
        <v>170</v>
      </c>
      <c r="B10" s="1152">
        <v>1</v>
      </c>
      <c r="C10" s="1152">
        <v>2</v>
      </c>
      <c r="D10" s="1152"/>
      <c r="E10" s="1152"/>
      <c r="F10" s="1152">
        <v>1</v>
      </c>
      <c r="G10" s="1152"/>
      <c r="H10" s="1152"/>
      <c r="I10" s="1152">
        <v>1</v>
      </c>
      <c r="J10" s="1152"/>
      <c r="K10" s="1152"/>
      <c r="L10" s="1152"/>
      <c r="M10" s="1152"/>
      <c r="N10" s="1152"/>
      <c r="O10" s="1152">
        <v>1</v>
      </c>
      <c r="P10" s="1152"/>
      <c r="Q10" s="1152"/>
      <c r="R10" s="1152">
        <v>1</v>
      </c>
      <c r="S10" s="1152"/>
      <c r="T10" s="1152"/>
      <c r="U10" s="1152"/>
      <c r="V10" s="1152"/>
      <c r="W10" s="1152"/>
      <c r="X10" s="1152"/>
      <c r="Y10" s="1152"/>
      <c r="Z10" s="1152"/>
      <c r="AA10" s="1152"/>
      <c r="AB10" s="1152">
        <v>1</v>
      </c>
      <c r="AC10" s="1142">
        <f t="shared" si="0"/>
        <v>8</v>
      </c>
    </row>
    <row r="11" spans="1:29" ht="12.75" customHeight="1">
      <c r="A11" s="473" t="s">
        <v>171</v>
      </c>
      <c r="B11" s="1152"/>
      <c r="C11" s="1152">
        <v>1</v>
      </c>
      <c r="D11" s="1152">
        <v>2</v>
      </c>
      <c r="E11" s="1152"/>
      <c r="F11" s="1152"/>
      <c r="G11" s="1152"/>
      <c r="H11" s="1152"/>
      <c r="I11" s="1152"/>
      <c r="J11" s="1152"/>
      <c r="K11" s="1152"/>
      <c r="L11" s="1152"/>
      <c r="M11" s="1152"/>
      <c r="N11" s="1152"/>
      <c r="O11" s="1152"/>
      <c r="P11" s="1152"/>
      <c r="Q11" s="1152">
        <v>1</v>
      </c>
      <c r="R11" s="1152"/>
      <c r="S11" s="1152"/>
      <c r="T11" s="1152"/>
      <c r="U11" s="1152"/>
      <c r="V11" s="1152"/>
      <c r="W11" s="1152"/>
      <c r="X11" s="1152"/>
      <c r="Y11" s="1152"/>
      <c r="Z11" s="1152"/>
      <c r="AA11" s="1152"/>
      <c r="AB11" s="1152">
        <v>1</v>
      </c>
      <c r="AC11" s="1142">
        <f t="shared" si="0"/>
        <v>5</v>
      </c>
    </row>
    <row r="12" spans="1:29" ht="12.75" customHeight="1">
      <c r="A12" s="473" t="s">
        <v>172</v>
      </c>
      <c r="B12" s="1152"/>
      <c r="C12" s="1152">
        <v>1</v>
      </c>
      <c r="D12" s="1152"/>
      <c r="E12" s="1152">
        <v>5</v>
      </c>
      <c r="F12" s="1152"/>
      <c r="G12" s="1152"/>
      <c r="H12" s="1152"/>
      <c r="I12" s="1152"/>
      <c r="J12" s="1152"/>
      <c r="K12" s="1152"/>
      <c r="L12" s="1152"/>
      <c r="M12" s="1152">
        <v>1</v>
      </c>
      <c r="N12" s="1152"/>
      <c r="O12" s="1152"/>
      <c r="P12" s="1152"/>
      <c r="Q12" s="1152"/>
      <c r="R12" s="1152"/>
      <c r="S12" s="1152"/>
      <c r="T12" s="1152"/>
      <c r="U12" s="1152">
        <v>1</v>
      </c>
      <c r="V12" s="1152"/>
      <c r="W12" s="1152"/>
      <c r="X12" s="1152"/>
      <c r="Y12" s="1152"/>
      <c r="Z12" s="1152"/>
      <c r="AA12" s="1152">
        <v>2</v>
      </c>
      <c r="AB12" s="1152"/>
      <c r="AC12" s="1142">
        <f t="shared" si="0"/>
        <v>10</v>
      </c>
    </row>
    <row r="13" spans="1:29" ht="12.75" customHeight="1">
      <c r="A13" s="473" t="s">
        <v>173</v>
      </c>
      <c r="B13" s="1152"/>
      <c r="C13" s="1152"/>
      <c r="D13" s="1152"/>
      <c r="E13" s="1152"/>
      <c r="F13" s="1152">
        <v>1</v>
      </c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>
        <v>1</v>
      </c>
      <c r="V13" s="1152"/>
      <c r="W13" s="1152"/>
      <c r="X13" s="1152"/>
      <c r="Y13" s="1152"/>
      <c r="Z13" s="1152"/>
      <c r="AA13" s="1152"/>
      <c r="AB13" s="1152"/>
      <c r="AC13" s="1142">
        <f t="shared" si="0"/>
        <v>2</v>
      </c>
    </row>
    <row r="14" spans="1:29" ht="12.75" customHeight="1">
      <c r="A14" s="473" t="s">
        <v>203</v>
      </c>
      <c r="B14" s="1152">
        <v>1</v>
      </c>
      <c r="C14" s="1152"/>
      <c r="D14" s="1152"/>
      <c r="E14" s="1152"/>
      <c r="F14" s="1152"/>
      <c r="G14" s="1152">
        <v>2</v>
      </c>
      <c r="H14" s="1152"/>
      <c r="I14" s="1152"/>
      <c r="J14" s="1152"/>
      <c r="K14" s="1152"/>
      <c r="L14" s="1152"/>
      <c r="M14" s="1152"/>
      <c r="N14" s="1152"/>
      <c r="O14" s="1152"/>
      <c r="P14" s="1152"/>
      <c r="Q14" s="1152"/>
      <c r="R14" s="1152"/>
      <c r="S14" s="1152"/>
      <c r="T14" s="1152"/>
      <c r="U14" s="1152">
        <v>1</v>
      </c>
      <c r="V14" s="1152"/>
      <c r="W14" s="1152"/>
      <c r="X14" s="1152"/>
      <c r="Y14" s="1152"/>
      <c r="Z14" s="1152"/>
      <c r="AA14" s="1152"/>
      <c r="AB14" s="1152"/>
      <c r="AC14" s="1142">
        <f t="shared" si="0"/>
        <v>4</v>
      </c>
    </row>
    <row r="15" spans="1:29" ht="12.75" customHeight="1">
      <c r="A15" s="473" t="s">
        <v>204</v>
      </c>
      <c r="B15" s="1152"/>
      <c r="C15" s="1152"/>
      <c r="D15" s="1152"/>
      <c r="E15" s="1152"/>
      <c r="F15" s="1152"/>
      <c r="G15" s="1152"/>
      <c r="H15" s="1152">
        <v>1</v>
      </c>
      <c r="I15" s="1152"/>
      <c r="J15" s="1152"/>
      <c r="K15" s="1152"/>
      <c r="L15" s="1152"/>
      <c r="M15" s="1152"/>
      <c r="N15" s="1152"/>
      <c r="O15" s="1152"/>
      <c r="P15" s="1152"/>
      <c r="Q15" s="1152"/>
      <c r="R15" s="1152"/>
      <c r="S15" s="1152"/>
      <c r="T15" s="1152"/>
      <c r="U15" s="1152"/>
      <c r="V15" s="1152"/>
      <c r="W15" s="1152"/>
      <c r="X15" s="1152"/>
      <c r="Y15" s="1152"/>
      <c r="Z15" s="1152"/>
      <c r="AA15" s="1152"/>
      <c r="AB15" s="1152"/>
      <c r="AC15" s="1142">
        <f t="shared" si="0"/>
        <v>1</v>
      </c>
    </row>
    <row r="16" spans="1:29" ht="12.75" customHeight="1">
      <c r="A16" s="474" t="s">
        <v>174</v>
      </c>
      <c r="B16" s="1153"/>
      <c r="C16" s="1153"/>
      <c r="D16" s="1153"/>
      <c r="E16" s="1153"/>
      <c r="F16" s="1153"/>
      <c r="G16" s="1153"/>
      <c r="H16" s="1153"/>
      <c r="I16" s="1153">
        <v>9</v>
      </c>
      <c r="J16" s="1153"/>
      <c r="K16" s="1153"/>
      <c r="L16" s="1153"/>
      <c r="M16" s="1153">
        <v>1</v>
      </c>
      <c r="N16" s="1153"/>
      <c r="O16" s="1153"/>
      <c r="P16" s="1153">
        <v>1</v>
      </c>
      <c r="Q16" s="1153">
        <v>1</v>
      </c>
      <c r="R16" s="1153"/>
      <c r="S16" s="1153"/>
      <c r="T16" s="1153"/>
      <c r="U16" s="1153">
        <v>1</v>
      </c>
      <c r="V16" s="1153"/>
      <c r="W16" s="1153"/>
      <c r="X16" s="1153"/>
      <c r="Y16" s="1153"/>
      <c r="Z16" s="1153"/>
      <c r="AA16" s="1153"/>
      <c r="AB16" s="1153"/>
      <c r="AC16" s="1144">
        <f t="shared" si="0"/>
        <v>13</v>
      </c>
    </row>
    <row r="17" spans="1:29" ht="12.75" customHeight="1">
      <c r="A17" s="473" t="s">
        <v>175</v>
      </c>
      <c r="B17" s="1152"/>
      <c r="C17" s="1152"/>
      <c r="D17" s="1152"/>
      <c r="E17" s="1152"/>
      <c r="F17" s="1152"/>
      <c r="G17" s="1152"/>
      <c r="H17" s="1152"/>
      <c r="I17" s="1152"/>
      <c r="J17" s="1152">
        <v>1</v>
      </c>
      <c r="K17" s="1152"/>
      <c r="L17" s="1152"/>
      <c r="M17" s="1152">
        <v>1</v>
      </c>
      <c r="N17" s="1152"/>
      <c r="O17" s="1152">
        <v>1</v>
      </c>
      <c r="P17" s="1152"/>
      <c r="Q17" s="1152"/>
      <c r="R17" s="1152"/>
      <c r="S17" s="1152"/>
      <c r="T17" s="1152"/>
      <c r="U17" s="1152">
        <v>2</v>
      </c>
      <c r="V17" s="1152"/>
      <c r="W17" s="1152"/>
      <c r="X17" s="1152"/>
      <c r="Y17" s="1152"/>
      <c r="Z17" s="1152"/>
      <c r="AA17" s="1152"/>
      <c r="AB17" s="1152"/>
      <c r="AC17" s="1142">
        <f t="shared" si="0"/>
        <v>5</v>
      </c>
    </row>
    <row r="18" spans="1:29" ht="12.75" customHeight="1">
      <c r="A18" s="473" t="s">
        <v>176</v>
      </c>
      <c r="B18" s="1152"/>
      <c r="C18" s="1152"/>
      <c r="D18" s="1152"/>
      <c r="E18" s="1152"/>
      <c r="F18" s="1152"/>
      <c r="G18" s="1152"/>
      <c r="H18" s="1152"/>
      <c r="I18" s="1152"/>
      <c r="J18" s="1152"/>
      <c r="K18" s="1152">
        <v>7</v>
      </c>
      <c r="L18" s="1152"/>
      <c r="M18" s="1152">
        <v>1</v>
      </c>
      <c r="N18" s="1152"/>
      <c r="O18" s="1152"/>
      <c r="P18" s="1152">
        <v>1</v>
      </c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42">
        <f t="shared" si="0"/>
        <v>9</v>
      </c>
    </row>
    <row r="19" spans="1:29" ht="12.75" customHeight="1">
      <c r="A19" s="473" t="s">
        <v>199</v>
      </c>
      <c r="B19" s="1152"/>
      <c r="C19" s="1152"/>
      <c r="D19" s="1152"/>
      <c r="E19" s="1152"/>
      <c r="F19" s="1152"/>
      <c r="G19" s="1152"/>
      <c r="H19" s="1152"/>
      <c r="I19" s="1152"/>
      <c r="J19" s="1152"/>
      <c r="K19" s="1152"/>
      <c r="L19" s="1152">
        <v>1</v>
      </c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42">
        <f t="shared" si="0"/>
        <v>1</v>
      </c>
    </row>
    <row r="20" spans="1:29" ht="12.75" customHeight="1">
      <c r="A20" s="473" t="s">
        <v>177</v>
      </c>
      <c r="B20" s="1152">
        <v>1</v>
      </c>
      <c r="C20" s="1152"/>
      <c r="D20" s="1152"/>
      <c r="E20" s="1152"/>
      <c r="F20" s="1152"/>
      <c r="G20" s="1152"/>
      <c r="H20" s="1152"/>
      <c r="I20" s="1152">
        <v>1</v>
      </c>
      <c r="J20" s="1152"/>
      <c r="K20" s="1152">
        <v>1</v>
      </c>
      <c r="L20" s="1152"/>
      <c r="M20" s="1152">
        <v>10</v>
      </c>
      <c r="N20" s="1152"/>
      <c r="O20" s="1152"/>
      <c r="P20" s="1152"/>
      <c r="Q20" s="1152">
        <v>1</v>
      </c>
      <c r="R20" s="1152"/>
      <c r="S20" s="1152"/>
      <c r="T20" s="1152"/>
      <c r="U20" s="1152"/>
      <c r="V20" s="1152"/>
      <c r="W20" s="1152"/>
      <c r="X20" s="1152">
        <v>1</v>
      </c>
      <c r="Y20" s="1152"/>
      <c r="Z20" s="1152">
        <v>1</v>
      </c>
      <c r="AA20" s="1152"/>
      <c r="AB20" s="1152">
        <v>1</v>
      </c>
      <c r="AC20" s="1142">
        <f t="shared" si="0"/>
        <v>17</v>
      </c>
    </row>
    <row r="21" spans="1:29" ht="12.75" customHeight="1">
      <c r="A21" s="473" t="s">
        <v>178</v>
      </c>
      <c r="B21" s="1152"/>
      <c r="C21" s="1152"/>
      <c r="D21" s="1152"/>
      <c r="E21" s="1152"/>
      <c r="F21" s="1152"/>
      <c r="G21" s="1152"/>
      <c r="H21" s="1152"/>
      <c r="I21" s="1152"/>
      <c r="J21" s="1152"/>
      <c r="K21" s="1152"/>
      <c r="L21" s="1152"/>
      <c r="M21" s="1152"/>
      <c r="N21" s="1152">
        <v>3</v>
      </c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42">
        <f t="shared" si="0"/>
        <v>3</v>
      </c>
    </row>
    <row r="22" spans="1:29" ht="12.75" customHeight="1">
      <c r="A22" s="473" t="s">
        <v>179</v>
      </c>
      <c r="B22" s="1152">
        <v>1</v>
      </c>
      <c r="C22" s="1152"/>
      <c r="D22" s="1152"/>
      <c r="E22" s="1152">
        <v>1</v>
      </c>
      <c r="F22" s="1152"/>
      <c r="G22" s="1152"/>
      <c r="H22" s="1152"/>
      <c r="I22" s="1152">
        <v>1</v>
      </c>
      <c r="J22" s="1152"/>
      <c r="K22" s="1152">
        <v>1</v>
      </c>
      <c r="L22" s="1152"/>
      <c r="M22" s="1152">
        <v>1</v>
      </c>
      <c r="N22" s="1152"/>
      <c r="O22" s="1152">
        <v>5</v>
      </c>
      <c r="P22" s="1152">
        <v>1</v>
      </c>
      <c r="Q22" s="1152">
        <v>1</v>
      </c>
      <c r="R22" s="1152"/>
      <c r="S22" s="1152">
        <v>1</v>
      </c>
      <c r="T22" s="1152"/>
      <c r="U22" s="1152">
        <v>2</v>
      </c>
      <c r="V22" s="1152"/>
      <c r="W22" s="1152"/>
      <c r="X22" s="1152"/>
      <c r="Y22" s="1152"/>
      <c r="Z22" s="1152"/>
      <c r="AA22" s="1152"/>
      <c r="AB22" s="1152"/>
      <c r="AC22" s="1142">
        <f t="shared" si="0"/>
        <v>15</v>
      </c>
    </row>
    <row r="23" spans="1:29" ht="12.75" customHeight="1">
      <c r="A23" s="473" t="s">
        <v>180</v>
      </c>
      <c r="B23" s="1152"/>
      <c r="C23" s="1152"/>
      <c r="D23" s="1152"/>
      <c r="E23" s="1152"/>
      <c r="F23" s="1152"/>
      <c r="G23" s="1152"/>
      <c r="H23" s="1152"/>
      <c r="I23" s="1152"/>
      <c r="J23" s="1152"/>
      <c r="K23" s="1152"/>
      <c r="L23" s="1152"/>
      <c r="M23" s="1152"/>
      <c r="N23" s="1152"/>
      <c r="O23" s="1152"/>
      <c r="P23" s="1152">
        <v>7</v>
      </c>
      <c r="Q23" s="1152"/>
      <c r="R23" s="1152"/>
      <c r="S23" s="1152"/>
      <c r="T23" s="1152"/>
      <c r="U23" s="1152">
        <v>1</v>
      </c>
      <c r="V23" s="1152"/>
      <c r="W23" s="1152"/>
      <c r="X23" s="1152"/>
      <c r="Y23" s="1152"/>
      <c r="Z23" s="1152"/>
      <c r="AA23" s="1152">
        <v>1</v>
      </c>
      <c r="AB23" s="1152"/>
      <c r="AC23" s="1142">
        <f t="shared" si="0"/>
        <v>9</v>
      </c>
    </row>
    <row r="24" spans="1:29" ht="12.75" customHeight="1">
      <c r="A24" s="473" t="s">
        <v>181</v>
      </c>
      <c r="B24" s="1152"/>
      <c r="C24" s="1152"/>
      <c r="D24" s="1152">
        <v>1</v>
      </c>
      <c r="E24" s="1152">
        <v>1</v>
      </c>
      <c r="F24" s="1152"/>
      <c r="G24" s="1152"/>
      <c r="H24" s="1152"/>
      <c r="I24" s="1152">
        <v>1</v>
      </c>
      <c r="J24" s="1152">
        <v>1</v>
      </c>
      <c r="K24" s="1152"/>
      <c r="L24" s="1152"/>
      <c r="M24" s="1152">
        <v>1</v>
      </c>
      <c r="N24" s="1152"/>
      <c r="O24" s="1152">
        <v>1</v>
      </c>
      <c r="P24" s="1152"/>
      <c r="Q24" s="1152">
        <v>4</v>
      </c>
      <c r="R24" s="1152"/>
      <c r="S24" s="1152">
        <v>1</v>
      </c>
      <c r="T24" s="1152"/>
      <c r="U24" s="1152"/>
      <c r="V24" s="1152"/>
      <c r="W24" s="1152"/>
      <c r="X24" s="1152"/>
      <c r="Y24" s="1152"/>
      <c r="Z24" s="1152"/>
      <c r="AA24" s="1152"/>
      <c r="AB24" s="1152"/>
      <c r="AC24" s="1142">
        <f t="shared" si="0"/>
        <v>11</v>
      </c>
    </row>
    <row r="25" spans="1:29" ht="12.75" customHeight="1">
      <c r="A25" s="473" t="s">
        <v>182</v>
      </c>
      <c r="B25" s="1152"/>
      <c r="C25" s="1152"/>
      <c r="D25" s="1152"/>
      <c r="E25" s="1152"/>
      <c r="F25" s="1152"/>
      <c r="G25" s="1152"/>
      <c r="H25" s="1152"/>
      <c r="I25" s="1152"/>
      <c r="J25" s="1152">
        <v>1</v>
      </c>
      <c r="K25" s="1152"/>
      <c r="L25" s="1152"/>
      <c r="M25" s="1152"/>
      <c r="N25" s="1152"/>
      <c r="O25" s="1152">
        <v>1</v>
      </c>
      <c r="P25" s="1152"/>
      <c r="Q25" s="1152"/>
      <c r="R25" s="1152">
        <v>3</v>
      </c>
      <c r="S25" s="1152"/>
      <c r="T25" s="1152"/>
      <c r="U25" s="1152"/>
      <c r="V25" s="1152"/>
      <c r="W25" s="1152"/>
      <c r="X25" s="1152">
        <v>1</v>
      </c>
      <c r="Y25" s="1152"/>
      <c r="Z25" s="1152"/>
      <c r="AA25" s="1152"/>
      <c r="AB25" s="1152">
        <v>1</v>
      </c>
      <c r="AC25" s="1142">
        <f t="shared" si="0"/>
        <v>7</v>
      </c>
    </row>
    <row r="26" spans="1:29" ht="12.75" customHeight="1">
      <c r="A26" s="473" t="s">
        <v>183</v>
      </c>
      <c r="B26" s="1152"/>
      <c r="C26" s="1152"/>
      <c r="D26" s="1152"/>
      <c r="E26" s="1152"/>
      <c r="F26" s="1152"/>
      <c r="G26" s="1152"/>
      <c r="H26" s="1152"/>
      <c r="I26" s="1152"/>
      <c r="J26" s="1152"/>
      <c r="K26" s="1152"/>
      <c r="L26" s="1152"/>
      <c r="M26" s="1152"/>
      <c r="N26" s="1152"/>
      <c r="O26" s="1152">
        <v>1</v>
      </c>
      <c r="P26" s="1152"/>
      <c r="Q26" s="1152"/>
      <c r="R26" s="1152"/>
      <c r="S26" s="1152">
        <v>2</v>
      </c>
      <c r="T26" s="1152"/>
      <c r="U26" s="1152"/>
      <c r="V26" s="1152"/>
      <c r="W26" s="1152"/>
      <c r="X26" s="1152"/>
      <c r="Y26" s="1152"/>
      <c r="Z26" s="1152"/>
      <c r="AA26" s="1152"/>
      <c r="AB26" s="1152"/>
      <c r="AC26" s="1142">
        <f t="shared" si="0"/>
        <v>3</v>
      </c>
    </row>
    <row r="27" spans="1:29" ht="12.75" customHeight="1">
      <c r="A27" s="473" t="s">
        <v>184</v>
      </c>
      <c r="B27" s="1152"/>
      <c r="C27" s="1152"/>
      <c r="D27" s="1152"/>
      <c r="E27" s="1152"/>
      <c r="F27" s="1152"/>
      <c r="G27" s="1152"/>
      <c r="H27" s="1152"/>
      <c r="I27" s="1152"/>
      <c r="J27" s="1152"/>
      <c r="K27" s="1152"/>
      <c r="L27" s="1152"/>
      <c r="M27" s="1152"/>
      <c r="N27" s="1152"/>
      <c r="O27" s="1152"/>
      <c r="P27" s="1152"/>
      <c r="Q27" s="1152"/>
      <c r="R27" s="1152"/>
      <c r="S27" s="1152"/>
      <c r="T27" s="1152">
        <v>2</v>
      </c>
      <c r="U27" s="1152"/>
      <c r="V27" s="1152"/>
      <c r="W27" s="1152"/>
      <c r="X27" s="1152"/>
      <c r="Y27" s="1152"/>
      <c r="Z27" s="1152"/>
      <c r="AA27" s="1152"/>
      <c r="AB27" s="1152"/>
      <c r="AC27" s="1142">
        <f t="shared" si="0"/>
        <v>2</v>
      </c>
    </row>
    <row r="28" spans="1:29" ht="12.75" customHeight="1">
      <c r="A28" s="474" t="s">
        <v>185</v>
      </c>
      <c r="B28" s="1153">
        <v>1</v>
      </c>
      <c r="C28" s="1153"/>
      <c r="D28" s="1153"/>
      <c r="E28" s="1153"/>
      <c r="F28" s="1153"/>
      <c r="G28" s="1153"/>
      <c r="H28" s="1153"/>
      <c r="I28" s="1153">
        <v>2</v>
      </c>
      <c r="J28" s="1153"/>
      <c r="K28" s="1153">
        <v>1</v>
      </c>
      <c r="L28" s="1153"/>
      <c r="M28" s="1153">
        <v>1</v>
      </c>
      <c r="N28" s="1153"/>
      <c r="O28" s="1153"/>
      <c r="P28" s="1153"/>
      <c r="Q28" s="1153"/>
      <c r="R28" s="1153"/>
      <c r="S28" s="1153"/>
      <c r="T28" s="1153"/>
      <c r="U28" s="1153">
        <v>19</v>
      </c>
      <c r="V28" s="1153"/>
      <c r="W28" s="1153"/>
      <c r="X28" s="1153"/>
      <c r="Y28" s="1153">
        <v>1</v>
      </c>
      <c r="Z28" s="1153">
        <v>1</v>
      </c>
      <c r="AA28" s="1153">
        <v>1</v>
      </c>
      <c r="AB28" s="1153">
        <v>2</v>
      </c>
      <c r="AC28" s="1144">
        <f t="shared" si="0"/>
        <v>29</v>
      </c>
    </row>
    <row r="29" spans="1:29" ht="12.75" customHeight="1">
      <c r="A29" s="1924"/>
      <c r="B29" s="1152"/>
      <c r="C29" s="1152"/>
      <c r="D29" s="1152"/>
      <c r="E29" s="1924"/>
      <c r="F29" s="1924"/>
      <c r="G29" s="1152"/>
      <c r="H29" s="1152"/>
      <c r="I29" s="1152"/>
      <c r="J29" s="1152"/>
      <c r="K29" s="1152"/>
      <c r="L29" s="1152"/>
      <c r="M29" s="1152"/>
      <c r="N29" s="1152"/>
      <c r="O29" s="1152"/>
      <c r="P29" s="1152"/>
      <c r="Q29" s="1152"/>
      <c r="R29" s="1152">
        <v>1</v>
      </c>
      <c r="S29" s="1152"/>
      <c r="T29" s="1152"/>
      <c r="U29" s="1152">
        <v>1</v>
      </c>
      <c r="V29" s="1152">
        <v>3</v>
      </c>
      <c r="W29" s="1152"/>
      <c r="X29" s="1152"/>
      <c r="Y29" s="1152"/>
      <c r="Z29" s="1152"/>
      <c r="AA29" s="1152"/>
      <c r="AB29" s="1152">
        <v>2</v>
      </c>
      <c r="AC29" s="1142">
        <f t="shared" si="0"/>
        <v>7</v>
      </c>
    </row>
    <row r="30" spans="1:29" ht="12.75" customHeight="1">
      <c r="A30" s="473" t="s">
        <v>187</v>
      </c>
      <c r="B30" s="1152"/>
      <c r="C30" s="1152"/>
      <c r="D30" s="1152"/>
      <c r="E30" s="1152"/>
      <c r="F30" s="1152"/>
      <c r="G30" s="1152"/>
      <c r="H30" s="1152"/>
      <c r="I30" s="1152"/>
      <c r="J30" s="1152"/>
      <c r="K30" s="1152"/>
      <c r="L30" s="1152"/>
      <c r="M30" s="1152"/>
      <c r="N30" s="1152"/>
      <c r="O30" s="1152"/>
      <c r="P30" s="1152"/>
      <c r="Q30" s="1152"/>
      <c r="R30" s="1152"/>
      <c r="S30" s="1152"/>
      <c r="T30" s="1152"/>
      <c r="U30" s="1152"/>
      <c r="V30" s="1152"/>
      <c r="W30" s="1152">
        <v>3</v>
      </c>
      <c r="X30" s="1152"/>
      <c r="Y30" s="1152"/>
      <c r="Z30" s="1152"/>
      <c r="AA30" s="1152"/>
      <c r="AB30" s="1152"/>
      <c r="AC30" s="1142">
        <f t="shared" si="0"/>
        <v>3</v>
      </c>
    </row>
    <row r="31" spans="1:29" ht="12.75" customHeight="1">
      <c r="A31" s="473" t="s">
        <v>188</v>
      </c>
      <c r="B31" s="1152"/>
      <c r="C31" s="1152"/>
      <c r="D31" s="1152"/>
      <c r="E31" s="1152"/>
      <c r="F31" s="1152"/>
      <c r="G31" s="1152"/>
      <c r="H31" s="1152"/>
      <c r="I31" s="1152">
        <v>1</v>
      </c>
      <c r="J31" s="1152"/>
      <c r="K31" s="1152">
        <v>1</v>
      </c>
      <c r="L31" s="1152"/>
      <c r="M31" s="1152"/>
      <c r="N31" s="1152"/>
      <c r="O31" s="1152"/>
      <c r="P31" s="1152"/>
      <c r="Q31" s="1152"/>
      <c r="R31" s="1152"/>
      <c r="S31" s="1152"/>
      <c r="T31" s="1152"/>
      <c r="U31" s="1152"/>
      <c r="V31" s="1152"/>
      <c r="W31" s="1152"/>
      <c r="X31" s="1152">
        <v>12</v>
      </c>
      <c r="Y31" s="1152"/>
      <c r="Z31" s="1152"/>
      <c r="AA31" s="1152"/>
      <c r="AB31" s="1152"/>
      <c r="AC31" s="1142">
        <f t="shared" si="0"/>
        <v>14</v>
      </c>
    </row>
    <row r="32" spans="1:29" ht="12.75" customHeight="1">
      <c r="A32" s="475" t="s">
        <v>189</v>
      </c>
      <c r="B32" s="1154"/>
      <c r="C32" s="1154"/>
      <c r="D32" s="1154"/>
      <c r="E32" s="1154"/>
      <c r="F32" s="1154"/>
      <c r="G32" s="1154"/>
      <c r="H32" s="1154"/>
      <c r="I32" s="1154"/>
      <c r="J32" s="1154"/>
      <c r="K32" s="1154"/>
      <c r="L32" s="1154"/>
      <c r="M32" s="1154"/>
      <c r="N32" s="1154"/>
      <c r="O32" s="1154"/>
      <c r="P32" s="1154"/>
      <c r="Q32" s="1154"/>
      <c r="R32" s="1154"/>
      <c r="S32" s="1154"/>
      <c r="T32" s="1154"/>
      <c r="U32" s="1154">
        <v>2</v>
      </c>
      <c r="V32" s="1154"/>
      <c r="W32" s="1154"/>
      <c r="X32" s="1154"/>
      <c r="Y32" s="1154">
        <v>1</v>
      </c>
      <c r="Z32" s="1154"/>
      <c r="AA32" s="1154"/>
      <c r="AB32" s="1154">
        <v>1</v>
      </c>
      <c r="AC32" s="1145">
        <f t="shared" si="0"/>
        <v>4</v>
      </c>
    </row>
    <row r="33" spans="1:29" ht="12.75" customHeight="1">
      <c r="A33" s="475" t="s">
        <v>190</v>
      </c>
      <c r="B33" s="1154"/>
      <c r="C33" s="1154"/>
      <c r="D33" s="1154"/>
      <c r="E33" s="1154"/>
      <c r="F33" s="1154"/>
      <c r="G33" s="1154"/>
      <c r="H33" s="1154"/>
      <c r="I33" s="1154"/>
      <c r="J33" s="1154"/>
      <c r="K33" s="1154"/>
      <c r="L33" s="1154"/>
      <c r="M33" s="1154"/>
      <c r="N33" s="1154"/>
      <c r="O33" s="1154"/>
      <c r="P33" s="1154"/>
      <c r="Q33" s="1154"/>
      <c r="R33" s="1154"/>
      <c r="S33" s="1154"/>
      <c r="T33" s="1154"/>
      <c r="U33" s="1154">
        <v>1</v>
      </c>
      <c r="V33" s="1154"/>
      <c r="W33" s="1154"/>
      <c r="X33" s="1154"/>
      <c r="Y33" s="1154"/>
      <c r="Z33" s="1154">
        <v>7</v>
      </c>
      <c r="AA33" s="1154"/>
      <c r="AB33" s="1154"/>
      <c r="AC33" s="1145">
        <f t="shared" si="0"/>
        <v>8</v>
      </c>
    </row>
    <row r="34" spans="1:29" ht="12.75" customHeight="1">
      <c r="A34" s="473" t="s">
        <v>191</v>
      </c>
      <c r="B34" s="1152"/>
      <c r="C34" s="1152"/>
      <c r="D34" s="1152"/>
      <c r="E34" s="1152"/>
      <c r="F34" s="1152"/>
      <c r="G34" s="1152"/>
      <c r="H34" s="1152"/>
      <c r="I34" s="1152"/>
      <c r="J34" s="1152"/>
      <c r="K34" s="1152"/>
      <c r="L34" s="1152"/>
      <c r="M34" s="1152"/>
      <c r="N34" s="1152"/>
      <c r="O34" s="1152"/>
      <c r="P34" s="1152"/>
      <c r="Q34" s="1152"/>
      <c r="R34" s="1152"/>
      <c r="S34" s="1152"/>
      <c r="T34" s="1152"/>
      <c r="U34" s="1152"/>
      <c r="V34" s="1152"/>
      <c r="W34" s="1152"/>
      <c r="X34" s="1152"/>
      <c r="Y34" s="1152"/>
      <c r="Z34" s="1152"/>
      <c r="AA34" s="1152">
        <v>9</v>
      </c>
      <c r="AB34" s="1152"/>
      <c r="AC34" s="1142">
        <f t="shared" si="0"/>
        <v>9</v>
      </c>
    </row>
    <row r="35" spans="1:29" ht="12.75" customHeight="1">
      <c r="A35" s="474" t="s">
        <v>192</v>
      </c>
      <c r="B35" s="1153"/>
      <c r="C35" s="1153"/>
      <c r="D35" s="1153"/>
      <c r="E35" s="1153"/>
      <c r="F35" s="1153"/>
      <c r="G35" s="1153"/>
      <c r="H35" s="1153"/>
      <c r="I35" s="1153">
        <v>3</v>
      </c>
      <c r="J35" s="1153"/>
      <c r="K35" s="1153"/>
      <c r="L35" s="1153"/>
      <c r="M35" s="1153"/>
      <c r="N35" s="1153"/>
      <c r="O35" s="1153"/>
      <c r="P35" s="1153"/>
      <c r="Q35" s="1153"/>
      <c r="R35" s="1153"/>
      <c r="S35" s="1153"/>
      <c r="T35" s="1153"/>
      <c r="U35" s="1153">
        <v>1</v>
      </c>
      <c r="V35" s="1153"/>
      <c r="W35" s="1153"/>
      <c r="X35" s="1153">
        <v>1</v>
      </c>
      <c r="Y35" s="1153"/>
      <c r="Z35" s="1153"/>
      <c r="AA35" s="1153"/>
      <c r="AB35" s="1153">
        <v>4</v>
      </c>
      <c r="AC35" s="1144">
        <f t="shared" si="0"/>
        <v>9</v>
      </c>
    </row>
    <row r="36" spans="1:29" ht="12.75" customHeight="1">
      <c r="A36" s="476" t="s">
        <v>195</v>
      </c>
      <c r="B36" s="1146">
        <f t="shared" ref="B36:T36" si="1">SUM(B9:B35)</f>
        <v>14</v>
      </c>
      <c r="C36" s="1146">
        <f t="shared" si="1"/>
        <v>4</v>
      </c>
      <c r="D36" s="1146">
        <f t="shared" si="1"/>
        <v>3</v>
      </c>
      <c r="E36" s="1146">
        <f t="shared" si="1"/>
        <v>7</v>
      </c>
      <c r="F36" s="1146">
        <f t="shared" si="1"/>
        <v>2</v>
      </c>
      <c r="G36" s="1146">
        <f t="shared" si="1"/>
        <v>2</v>
      </c>
      <c r="H36" s="1146">
        <f t="shared" si="1"/>
        <v>1</v>
      </c>
      <c r="I36" s="1146">
        <f t="shared" si="1"/>
        <v>19</v>
      </c>
      <c r="J36" s="1146">
        <f t="shared" si="1"/>
        <v>3</v>
      </c>
      <c r="K36" s="1146">
        <f t="shared" si="1"/>
        <v>11</v>
      </c>
      <c r="L36" s="1146">
        <f t="shared" si="1"/>
        <v>1</v>
      </c>
      <c r="M36" s="1146">
        <f t="shared" si="1"/>
        <v>18</v>
      </c>
      <c r="N36" s="1146">
        <f t="shared" si="1"/>
        <v>3</v>
      </c>
      <c r="O36" s="1146">
        <f t="shared" si="1"/>
        <v>11</v>
      </c>
      <c r="P36" s="1146">
        <f t="shared" si="1"/>
        <v>10</v>
      </c>
      <c r="Q36" s="1146">
        <f t="shared" si="1"/>
        <v>8</v>
      </c>
      <c r="R36" s="1146">
        <f t="shared" si="1"/>
        <v>5</v>
      </c>
      <c r="S36" s="1146">
        <f t="shared" si="1"/>
        <v>4</v>
      </c>
      <c r="T36" s="1146">
        <f t="shared" si="1"/>
        <v>2</v>
      </c>
      <c r="U36" s="1146">
        <f t="shared" ref="U36:AC36" si="2">SUM(U9:U35)</f>
        <v>33</v>
      </c>
      <c r="V36" s="1146">
        <f t="shared" si="2"/>
        <v>3</v>
      </c>
      <c r="W36" s="1146">
        <f t="shared" si="2"/>
        <v>3</v>
      </c>
      <c r="X36" s="1146">
        <f t="shared" si="2"/>
        <v>15</v>
      </c>
      <c r="Y36" s="1146">
        <f t="shared" si="2"/>
        <v>2</v>
      </c>
      <c r="Z36" s="1146">
        <f t="shared" si="2"/>
        <v>9</v>
      </c>
      <c r="AA36" s="1146">
        <f t="shared" si="2"/>
        <v>14</v>
      </c>
      <c r="AB36" s="1146">
        <f t="shared" si="2"/>
        <v>13</v>
      </c>
      <c r="AC36" s="1146">
        <f t="shared" si="2"/>
        <v>220</v>
      </c>
    </row>
    <row r="37" spans="1:29" ht="12.75" customHeight="1">
      <c r="A37" s="473" t="s">
        <v>169</v>
      </c>
      <c r="B37" s="1141">
        <v>8</v>
      </c>
      <c r="C37" s="1141"/>
      <c r="D37" s="1141"/>
      <c r="E37" s="1141"/>
      <c r="F37" s="1141"/>
      <c r="G37" s="1141"/>
      <c r="H37" s="1141"/>
      <c r="I37" s="1141"/>
      <c r="J37" s="1141"/>
      <c r="K37" s="1141">
        <v>1</v>
      </c>
      <c r="L37" s="1141"/>
      <c r="M37" s="1141"/>
      <c r="N37" s="1141"/>
      <c r="O37" s="1141">
        <v>1</v>
      </c>
      <c r="P37" s="1141"/>
      <c r="Q37" s="1141"/>
      <c r="R37" s="1141"/>
      <c r="S37" s="1141"/>
      <c r="T37" s="1141"/>
      <c r="U37" s="1141"/>
      <c r="V37" s="1141"/>
      <c r="W37" s="1141"/>
      <c r="X37" s="1141"/>
      <c r="Y37" s="1141"/>
      <c r="Z37" s="1141"/>
      <c r="AA37" s="1141"/>
      <c r="AB37" s="1141"/>
      <c r="AC37" s="1142">
        <f t="shared" ref="AC37:AC62" si="3">SUM(B37:AB37)</f>
        <v>10</v>
      </c>
    </row>
    <row r="38" spans="1:29" ht="12.75" customHeight="1">
      <c r="A38" s="473" t="s">
        <v>170</v>
      </c>
      <c r="B38" s="1141"/>
      <c r="C38" s="1141">
        <v>3</v>
      </c>
      <c r="D38" s="1141">
        <v>1</v>
      </c>
      <c r="E38" s="1141"/>
      <c r="F38" s="1141"/>
      <c r="G38" s="1141"/>
      <c r="H38" s="1141"/>
      <c r="I38" s="1141"/>
      <c r="J38" s="1141"/>
      <c r="K38" s="1141"/>
      <c r="L38" s="1141"/>
      <c r="M38" s="1141"/>
      <c r="N38" s="1141"/>
      <c r="O38" s="1141"/>
      <c r="P38" s="1141"/>
      <c r="Q38" s="1141"/>
      <c r="R38" s="1141"/>
      <c r="S38" s="1141"/>
      <c r="T38" s="1141"/>
      <c r="U38" s="1141"/>
      <c r="V38" s="1141"/>
      <c r="W38" s="1141"/>
      <c r="X38" s="1141"/>
      <c r="Y38" s="1141"/>
      <c r="Z38" s="1141"/>
      <c r="AA38" s="1141"/>
      <c r="AB38" s="1141"/>
      <c r="AC38" s="1142">
        <f t="shared" si="3"/>
        <v>4</v>
      </c>
    </row>
    <row r="39" spans="1:29" ht="12.75" customHeight="1">
      <c r="A39" s="473" t="s">
        <v>171</v>
      </c>
      <c r="B39" s="1141"/>
      <c r="C39" s="1141"/>
      <c r="D39" s="1141">
        <v>4</v>
      </c>
      <c r="E39" s="1141"/>
      <c r="F39" s="1141"/>
      <c r="G39" s="1141"/>
      <c r="H39" s="1141"/>
      <c r="I39" s="1141">
        <v>1</v>
      </c>
      <c r="J39" s="1141"/>
      <c r="K39" s="1141"/>
      <c r="L39" s="1141"/>
      <c r="M39" s="1141"/>
      <c r="N39" s="1141"/>
      <c r="O39" s="1141"/>
      <c r="P39" s="1141"/>
      <c r="Q39" s="1141"/>
      <c r="R39" s="1141"/>
      <c r="S39" s="1141"/>
      <c r="T39" s="1141"/>
      <c r="U39" s="1141"/>
      <c r="V39" s="1141"/>
      <c r="W39" s="1141"/>
      <c r="X39" s="1141"/>
      <c r="Y39" s="1141"/>
      <c r="Z39" s="1141"/>
      <c r="AA39" s="1141"/>
      <c r="AB39" s="1141"/>
      <c r="AC39" s="1142">
        <f t="shared" si="3"/>
        <v>5</v>
      </c>
    </row>
    <row r="40" spans="1:29" ht="12.75" customHeight="1">
      <c r="A40" s="473" t="s">
        <v>172</v>
      </c>
      <c r="B40" s="1141"/>
      <c r="C40" s="1141"/>
      <c r="D40" s="1141"/>
      <c r="E40" s="1141">
        <v>10</v>
      </c>
      <c r="F40" s="1141"/>
      <c r="G40" s="1141"/>
      <c r="H40" s="1141"/>
      <c r="I40" s="1141">
        <v>1</v>
      </c>
      <c r="J40" s="1141"/>
      <c r="K40" s="1141"/>
      <c r="L40" s="1141"/>
      <c r="M40" s="1141"/>
      <c r="N40" s="1141"/>
      <c r="O40" s="1141"/>
      <c r="P40" s="1141"/>
      <c r="Q40" s="1141"/>
      <c r="R40" s="1141">
        <v>1</v>
      </c>
      <c r="S40" s="1141"/>
      <c r="T40" s="1141"/>
      <c r="U40" s="1141">
        <v>1</v>
      </c>
      <c r="V40" s="1141"/>
      <c r="W40" s="1141"/>
      <c r="X40" s="1141"/>
      <c r="Y40" s="1141"/>
      <c r="Z40" s="1141"/>
      <c r="AA40" s="1141">
        <v>1</v>
      </c>
      <c r="AB40" s="1141">
        <v>1</v>
      </c>
      <c r="AC40" s="1142">
        <f t="shared" si="3"/>
        <v>15</v>
      </c>
    </row>
    <row r="41" spans="1:29" ht="12.75" customHeight="1">
      <c r="A41" s="473" t="s">
        <v>173</v>
      </c>
      <c r="B41" s="1141"/>
      <c r="C41" s="1141"/>
      <c r="D41" s="1141"/>
      <c r="E41" s="1141"/>
      <c r="F41" s="1141">
        <v>1</v>
      </c>
      <c r="G41" s="1141"/>
      <c r="H41" s="1141"/>
      <c r="I41" s="1141"/>
      <c r="J41" s="1141"/>
      <c r="K41" s="1141"/>
      <c r="L41" s="1141"/>
      <c r="M41" s="1141"/>
      <c r="N41" s="1141"/>
      <c r="O41" s="1141"/>
      <c r="P41" s="1141"/>
      <c r="Q41" s="1141"/>
      <c r="R41" s="1141"/>
      <c r="S41" s="1141"/>
      <c r="T41" s="1141"/>
      <c r="U41" s="1141"/>
      <c r="V41" s="1141"/>
      <c r="W41" s="1141"/>
      <c r="X41" s="1141"/>
      <c r="Y41" s="1141"/>
      <c r="Z41" s="1141">
        <v>1</v>
      </c>
      <c r="AA41" s="1141"/>
      <c r="AB41" s="1141"/>
      <c r="AC41" s="1142">
        <f t="shared" si="3"/>
        <v>2</v>
      </c>
    </row>
    <row r="42" spans="1:29" s="1256" customFormat="1" ht="12.75" customHeight="1">
      <c r="A42" s="473" t="s">
        <v>203</v>
      </c>
      <c r="B42" s="1141"/>
      <c r="C42" s="1141"/>
      <c r="D42" s="1141"/>
      <c r="E42" s="1141"/>
      <c r="F42" s="1141"/>
      <c r="G42" s="1141">
        <v>1</v>
      </c>
      <c r="H42" s="1141"/>
      <c r="I42" s="1141"/>
      <c r="J42" s="1141"/>
      <c r="K42" s="1141"/>
      <c r="L42" s="1141"/>
      <c r="M42" s="1141"/>
      <c r="N42" s="1141"/>
      <c r="O42" s="1141"/>
      <c r="P42" s="1141"/>
      <c r="Q42" s="1141"/>
      <c r="R42" s="1141"/>
      <c r="S42" s="1141"/>
      <c r="T42" s="1141"/>
      <c r="U42" s="1141"/>
      <c r="V42" s="1141"/>
      <c r="W42" s="1141"/>
      <c r="X42" s="1141"/>
      <c r="Y42" s="1141"/>
      <c r="Z42" s="1141"/>
      <c r="AA42" s="1141"/>
      <c r="AB42" s="1141"/>
      <c r="AC42" s="1142">
        <f t="shared" si="3"/>
        <v>1</v>
      </c>
    </row>
    <row r="43" spans="1:29" ht="12.75" customHeight="1">
      <c r="A43" s="1257" t="s">
        <v>174</v>
      </c>
      <c r="B43" s="1258"/>
      <c r="C43" s="1258"/>
      <c r="D43" s="1258"/>
      <c r="E43" s="1258">
        <v>1</v>
      </c>
      <c r="F43" s="1258"/>
      <c r="G43" s="1258"/>
      <c r="H43" s="1258"/>
      <c r="I43" s="1258">
        <v>7</v>
      </c>
      <c r="J43" s="1258"/>
      <c r="K43" s="1258">
        <v>1</v>
      </c>
      <c r="L43" s="1258"/>
      <c r="M43" s="1258"/>
      <c r="N43" s="1258"/>
      <c r="O43" s="1258"/>
      <c r="P43" s="1258"/>
      <c r="Q43" s="1258"/>
      <c r="R43" s="1258"/>
      <c r="S43" s="1258"/>
      <c r="T43" s="1258"/>
      <c r="U43" s="1258">
        <v>3</v>
      </c>
      <c r="V43" s="1258"/>
      <c r="W43" s="1258"/>
      <c r="X43" s="1258"/>
      <c r="Y43" s="1258"/>
      <c r="Z43" s="1258"/>
      <c r="AA43" s="1258"/>
      <c r="AB43" s="1258"/>
      <c r="AC43" s="1259">
        <f t="shared" si="3"/>
        <v>12</v>
      </c>
    </row>
    <row r="44" spans="1:29" ht="12.75" customHeight="1">
      <c r="A44" s="473" t="s">
        <v>175</v>
      </c>
      <c r="B44" s="1141"/>
      <c r="C44" s="1141"/>
      <c r="D44" s="1141"/>
      <c r="E44" s="1141">
        <v>1</v>
      </c>
      <c r="F44" s="1141"/>
      <c r="G44" s="1141"/>
      <c r="H44" s="1141"/>
      <c r="I44" s="1141"/>
      <c r="J44" s="1141">
        <v>5</v>
      </c>
      <c r="K44" s="1141"/>
      <c r="L44" s="1141"/>
      <c r="M44" s="1141"/>
      <c r="N44" s="1141"/>
      <c r="O44" s="1141"/>
      <c r="P44" s="1141">
        <v>1</v>
      </c>
      <c r="Q44" s="1141">
        <v>1</v>
      </c>
      <c r="R44" s="1141"/>
      <c r="S44" s="1141"/>
      <c r="T44" s="1141"/>
      <c r="U44" s="1141"/>
      <c r="V44" s="1141"/>
      <c r="W44" s="1141"/>
      <c r="X44" s="1141"/>
      <c r="Y44" s="1141"/>
      <c r="Z44" s="1141"/>
      <c r="AA44" s="1141"/>
      <c r="AB44" s="1141"/>
      <c r="AC44" s="1142">
        <f t="shared" si="3"/>
        <v>8</v>
      </c>
    </row>
    <row r="45" spans="1:29" ht="12.75" customHeight="1">
      <c r="A45" s="473" t="s">
        <v>176</v>
      </c>
      <c r="B45" s="1141"/>
      <c r="C45" s="1141"/>
      <c r="D45" s="1141"/>
      <c r="E45" s="1141"/>
      <c r="F45" s="1141"/>
      <c r="G45" s="1141"/>
      <c r="H45" s="1141"/>
      <c r="I45" s="1141"/>
      <c r="J45" s="1141"/>
      <c r="K45" s="1141">
        <v>4</v>
      </c>
      <c r="L45" s="1141"/>
      <c r="M45" s="1141"/>
      <c r="N45" s="1141"/>
      <c r="O45" s="1141"/>
      <c r="P45" s="1141"/>
      <c r="Q45" s="1141"/>
      <c r="R45" s="1141"/>
      <c r="S45" s="1141"/>
      <c r="T45" s="1141"/>
      <c r="U45" s="1141"/>
      <c r="V45" s="1141"/>
      <c r="W45" s="1141"/>
      <c r="X45" s="1141"/>
      <c r="Y45" s="1141"/>
      <c r="Z45" s="1141"/>
      <c r="AA45" s="1141"/>
      <c r="AB45" s="1141"/>
      <c r="AC45" s="1142">
        <f t="shared" si="3"/>
        <v>4</v>
      </c>
    </row>
    <row r="46" spans="1:29" ht="12.75" customHeight="1">
      <c r="A46" s="473" t="s">
        <v>199</v>
      </c>
      <c r="B46" s="1141"/>
      <c r="C46" s="1141"/>
      <c r="D46" s="1141"/>
      <c r="E46" s="1141"/>
      <c r="F46" s="1141"/>
      <c r="G46" s="1141"/>
      <c r="H46" s="1141"/>
      <c r="I46" s="1141"/>
      <c r="J46" s="1141"/>
      <c r="K46" s="1141"/>
      <c r="L46" s="1141">
        <v>1</v>
      </c>
      <c r="M46" s="1141"/>
      <c r="N46" s="1141"/>
      <c r="O46" s="1141"/>
      <c r="P46" s="1141"/>
      <c r="Q46" s="1141"/>
      <c r="R46" s="1141"/>
      <c r="S46" s="1141"/>
      <c r="T46" s="1141"/>
      <c r="U46" s="1141"/>
      <c r="V46" s="1141"/>
      <c r="W46" s="1141"/>
      <c r="X46" s="1141"/>
      <c r="Y46" s="1141"/>
      <c r="Z46" s="1141"/>
      <c r="AA46" s="1141"/>
      <c r="AB46" s="1141"/>
      <c r="AC46" s="1142">
        <f t="shared" si="3"/>
        <v>1</v>
      </c>
    </row>
    <row r="47" spans="1:29" ht="12.75" customHeight="1">
      <c r="A47" s="473" t="s">
        <v>177</v>
      </c>
      <c r="B47" s="1141"/>
      <c r="C47" s="1141"/>
      <c r="D47" s="1141"/>
      <c r="E47" s="1141"/>
      <c r="F47" s="1141"/>
      <c r="G47" s="1141"/>
      <c r="H47" s="1141"/>
      <c r="I47" s="1141">
        <v>1</v>
      </c>
      <c r="J47" s="1141"/>
      <c r="K47" s="1141"/>
      <c r="L47" s="1141"/>
      <c r="M47" s="1141">
        <v>13</v>
      </c>
      <c r="N47" s="1141"/>
      <c r="O47" s="1141"/>
      <c r="P47" s="1141"/>
      <c r="Q47" s="1141"/>
      <c r="R47" s="1141"/>
      <c r="S47" s="1141"/>
      <c r="T47" s="1141"/>
      <c r="U47" s="1141"/>
      <c r="V47" s="1141"/>
      <c r="W47" s="1141"/>
      <c r="X47" s="1141">
        <v>1</v>
      </c>
      <c r="Y47" s="1141"/>
      <c r="Z47" s="1141"/>
      <c r="AA47" s="1141"/>
      <c r="AB47" s="1141"/>
      <c r="AC47" s="1142">
        <f t="shared" si="3"/>
        <v>15</v>
      </c>
    </row>
    <row r="48" spans="1:29" ht="12.75" customHeight="1">
      <c r="A48" s="473" t="s">
        <v>178</v>
      </c>
      <c r="B48" s="1141"/>
      <c r="C48" s="1141"/>
      <c r="D48" s="1141"/>
      <c r="E48" s="1141"/>
      <c r="F48" s="1141"/>
      <c r="G48" s="1141"/>
      <c r="H48" s="1141"/>
      <c r="I48" s="1141"/>
      <c r="J48" s="1141"/>
      <c r="K48" s="1141"/>
      <c r="L48" s="1141"/>
      <c r="M48" s="1141"/>
      <c r="N48" s="1141">
        <v>6</v>
      </c>
      <c r="O48" s="1141"/>
      <c r="P48" s="1141"/>
      <c r="Q48" s="1141"/>
      <c r="R48" s="1141"/>
      <c r="S48" s="1141"/>
      <c r="T48" s="1141"/>
      <c r="U48" s="1141"/>
      <c r="V48" s="1141"/>
      <c r="W48" s="1141"/>
      <c r="X48" s="1141"/>
      <c r="Y48" s="1141"/>
      <c r="Z48" s="1141"/>
      <c r="AA48" s="1141"/>
      <c r="AB48" s="1141"/>
      <c r="AC48" s="1142">
        <f t="shared" si="3"/>
        <v>6</v>
      </c>
    </row>
    <row r="49" spans="1:29" ht="12.75" customHeight="1">
      <c r="A49" s="473" t="s">
        <v>179</v>
      </c>
      <c r="B49" s="1141">
        <v>1</v>
      </c>
      <c r="C49" s="1141"/>
      <c r="D49" s="1141"/>
      <c r="E49" s="1141"/>
      <c r="F49" s="1141"/>
      <c r="G49" s="1141"/>
      <c r="H49" s="1141"/>
      <c r="I49" s="1141">
        <v>1</v>
      </c>
      <c r="J49" s="1141"/>
      <c r="K49" s="1141">
        <v>1</v>
      </c>
      <c r="L49" s="1141"/>
      <c r="M49" s="1141">
        <v>1</v>
      </c>
      <c r="N49" s="1141"/>
      <c r="O49" s="1141">
        <v>9</v>
      </c>
      <c r="P49" s="1141"/>
      <c r="Q49" s="1141"/>
      <c r="R49" s="1141"/>
      <c r="S49" s="1141"/>
      <c r="T49" s="1141"/>
      <c r="U49" s="1141">
        <v>1</v>
      </c>
      <c r="V49" s="1141"/>
      <c r="W49" s="1141"/>
      <c r="X49" s="1141"/>
      <c r="Y49" s="1141"/>
      <c r="Z49" s="1141"/>
      <c r="AA49" s="1141"/>
      <c r="AB49" s="1141"/>
      <c r="AC49" s="1142">
        <f t="shared" si="3"/>
        <v>14</v>
      </c>
    </row>
    <row r="50" spans="1:29" ht="12.75" customHeight="1">
      <c r="A50" s="473" t="s">
        <v>180</v>
      </c>
      <c r="B50" s="1141"/>
      <c r="C50" s="1141"/>
      <c r="D50" s="1141"/>
      <c r="E50" s="1141">
        <v>1</v>
      </c>
      <c r="F50" s="1141"/>
      <c r="G50" s="1141"/>
      <c r="H50" s="1141"/>
      <c r="I50" s="1141"/>
      <c r="J50" s="1141"/>
      <c r="K50" s="1141"/>
      <c r="L50" s="1141"/>
      <c r="M50" s="1141"/>
      <c r="N50" s="1141"/>
      <c r="O50" s="1141"/>
      <c r="P50" s="1141">
        <v>6</v>
      </c>
      <c r="Q50" s="1141"/>
      <c r="R50" s="1141"/>
      <c r="S50" s="1141"/>
      <c r="T50" s="1141"/>
      <c r="U50" s="1141">
        <v>1</v>
      </c>
      <c r="V50" s="1141"/>
      <c r="W50" s="1141"/>
      <c r="X50" s="1141"/>
      <c r="Y50" s="1141"/>
      <c r="Z50" s="1141"/>
      <c r="AA50" s="1141"/>
      <c r="AB50" s="1141"/>
      <c r="AC50" s="1142">
        <f t="shared" si="3"/>
        <v>8</v>
      </c>
    </row>
    <row r="51" spans="1:29" ht="12.75" customHeight="1">
      <c r="A51" s="473" t="s">
        <v>181</v>
      </c>
      <c r="B51" s="1141"/>
      <c r="C51" s="1141"/>
      <c r="D51" s="1141"/>
      <c r="E51" s="1141"/>
      <c r="F51" s="1141"/>
      <c r="G51" s="1141"/>
      <c r="H51" s="1141"/>
      <c r="I51" s="1141"/>
      <c r="J51" s="1141"/>
      <c r="K51" s="1141"/>
      <c r="L51" s="1141"/>
      <c r="M51" s="1141"/>
      <c r="N51" s="1141"/>
      <c r="O51" s="1141"/>
      <c r="P51" s="1141"/>
      <c r="Q51" s="1141">
        <v>13</v>
      </c>
      <c r="R51" s="1141"/>
      <c r="S51" s="1141"/>
      <c r="T51" s="1141"/>
      <c r="U51" s="1141">
        <v>1</v>
      </c>
      <c r="V51" s="1141"/>
      <c r="W51" s="1141"/>
      <c r="X51" s="1141"/>
      <c r="Y51" s="1141"/>
      <c r="Z51" s="1141"/>
      <c r="AA51" s="1141"/>
      <c r="AB51" s="1141"/>
      <c r="AC51" s="1142">
        <f t="shared" si="3"/>
        <v>14</v>
      </c>
    </row>
    <row r="52" spans="1:29" ht="12.75" customHeight="1">
      <c r="A52" s="473" t="s">
        <v>182</v>
      </c>
      <c r="B52" s="1141"/>
      <c r="C52" s="1141"/>
      <c r="D52" s="1141"/>
      <c r="E52" s="1141"/>
      <c r="F52" s="1141"/>
      <c r="G52" s="1141"/>
      <c r="H52" s="1141"/>
      <c r="I52" s="1141"/>
      <c r="J52" s="1141"/>
      <c r="K52" s="1141"/>
      <c r="L52" s="1141"/>
      <c r="M52" s="1141"/>
      <c r="N52" s="1141"/>
      <c r="O52" s="1141"/>
      <c r="P52" s="1141"/>
      <c r="Q52" s="1141"/>
      <c r="R52" s="1141">
        <v>2</v>
      </c>
      <c r="S52" s="1141"/>
      <c r="T52" s="1141"/>
      <c r="U52" s="1141"/>
      <c r="V52" s="1141"/>
      <c r="W52" s="1141"/>
      <c r="X52" s="1141"/>
      <c r="Y52" s="1141"/>
      <c r="Z52" s="1141"/>
      <c r="AA52" s="1141"/>
      <c r="AB52" s="1141"/>
      <c r="AC52" s="1142">
        <f t="shared" si="3"/>
        <v>2</v>
      </c>
    </row>
    <row r="53" spans="1:29" ht="12.75" customHeight="1">
      <c r="A53" s="473" t="s">
        <v>183</v>
      </c>
      <c r="B53" s="1141"/>
      <c r="C53" s="1141"/>
      <c r="D53" s="1141"/>
      <c r="E53" s="1141"/>
      <c r="F53" s="1141"/>
      <c r="G53" s="1141"/>
      <c r="H53" s="1141"/>
      <c r="I53" s="1141"/>
      <c r="J53" s="1141"/>
      <c r="K53" s="1141"/>
      <c r="L53" s="1141"/>
      <c r="M53" s="1141"/>
      <c r="N53" s="1141"/>
      <c r="O53" s="1141"/>
      <c r="P53" s="1141"/>
      <c r="Q53" s="1141"/>
      <c r="R53" s="1141"/>
      <c r="S53" s="1141">
        <v>4</v>
      </c>
      <c r="T53" s="1141"/>
      <c r="U53" s="1141"/>
      <c r="V53" s="1141"/>
      <c r="W53" s="1141"/>
      <c r="X53" s="1141"/>
      <c r="Y53" s="1141"/>
      <c r="Z53" s="1141"/>
      <c r="AA53" s="1141"/>
      <c r="AB53" s="1141">
        <v>1</v>
      </c>
      <c r="AC53" s="1142">
        <f t="shared" si="3"/>
        <v>5</v>
      </c>
    </row>
    <row r="54" spans="1:29" ht="12.75" customHeight="1">
      <c r="A54" s="473" t="s">
        <v>184</v>
      </c>
      <c r="B54" s="1141"/>
      <c r="C54" s="1141"/>
      <c r="D54" s="1141"/>
      <c r="E54" s="1141"/>
      <c r="F54" s="1141"/>
      <c r="G54" s="1141"/>
      <c r="H54" s="1141"/>
      <c r="I54" s="1141">
        <v>1</v>
      </c>
      <c r="J54" s="1141"/>
      <c r="K54" s="1141"/>
      <c r="L54" s="1141"/>
      <c r="M54" s="1141"/>
      <c r="N54" s="1141"/>
      <c r="O54" s="1141"/>
      <c r="P54" s="1141"/>
      <c r="Q54" s="1141"/>
      <c r="R54" s="1141">
        <v>1</v>
      </c>
      <c r="S54" s="1141"/>
      <c r="T54" s="1141">
        <v>7</v>
      </c>
      <c r="U54" s="1141"/>
      <c r="V54" s="1141"/>
      <c r="W54" s="1141"/>
      <c r="X54" s="1141"/>
      <c r="Y54" s="1141"/>
      <c r="Z54" s="1141"/>
      <c r="AA54" s="1141"/>
      <c r="AB54" s="1141">
        <v>1</v>
      </c>
      <c r="AC54" s="1142">
        <f t="shared" si="3"/>
        <v>10</v>
      </c>
    </row>
    <row r="55" spans="1:29" ht="12.75" customHeight="1">
      <c r="A55" s="474" t="s">
        <v>185</v>
      </c>
      <c r="B55" s="1143"/>
      <c r="C55" s="1143"/>
      <c r="D55" s="1143"/>
      <c r="E55" s="1143">
        <v>1</v>
      </c>
      <c r="F55" s="1143"/>
      <c r="G55" s="1143"/>
      <c r="H55" s="1143"/>
      <c r="I55" s="1143">
        <v>1</v>
      </c>
      <c r="J55" s="1143"/>
      <c r="K55" s="1143"/>
      <c r="L55" s="1143"/>
      <c r="M55" s="1143"/>
      <c r="N55" s="1143"/>
      <c r="O55" s="1143"/>
      <c r="P55" s="1143"/>
      <c r="Q55" s="1143"/>
      <c r="R55" s="1143"/>
      <c r="S55" s="1143"/>
      <c r="T55" s="1143"/>
      <c r="U55" s="1143">
        <v>19</v>
      </c>
      <c r="V55" s="1143"/>
      <c r="W55" s="1143"/>
      <c r="X55" s="1143">
        <v>1</v>
      </c>
      <c r="Y55" s="1143"/>
      <c r="Z55" s="1143"/>
      <c r="AA55" s="1143"/>
      <c r="AB55" s="1143">
        <v>1</v>
      </c>
      <c r="AC55" s="1144">
        <f t="shared" si="3"/>
        <v>23</v>
      </c>
    </row>
    <row r="56" spans="1:29" ht="12.75" customHeight="1">
      <c r="A56" s="473" t="s">
        <v>186</v>
      </c>
      <c r="B56" s="1141"/>
      <c r="C56" s="1141"/>
      <c r="D56" s="1141"/>
      <c r="E56" s="1141"/>
      <c r="F56" s="1141">
        <v>1</v>
      </c>
      <c r="G56" s="1141"/>
      <c r="H56" s="1141"/>
      <c r="I56" s="1141"/>
      <c r="J56" s="1141"/>
      <c r="K56" s="1141">
        <v>1</v>
      </c>
      <c r="L56" s="1141"/>
      <c r="M56" s="1141"/>
      <c r="N56" s="1141"/>
      <c r="O56" s="1141"/>
      <c r="P56" s="1141"/>
      <c r="Q56" s="1141"/>
      <c r="R56" s="1141"/>
      <c r="S56" s="1141"/>
      <c r="T56" s="1141"/>
      <c r="U56" s="1141">
        <v>1</v>
      </c>
      <c r="V56" s="1141">
        <v>7</v>
      </c>
      <c r="W56" s="1141"/>
      <c r="X56" s="1141"/>
      <c r="Y56" s="1141"/>
      <c r="Z56" s="1141"/>
      <c r="AA56" s="1141"/>
      <c r="AB56" s="1141"/>
      <c r="AC56" s="1142">
        <f t="shared" si="3"/>
        <v>10</v>
      </c>
    </row>
    <row r="57" spans="1:29" ht="12.75" customHeight="1">
      <c r="A57" s="473" t="s">
        <v>187</v>
      </c>
      <c r="B57" s="1141"/>
      <c r="C57" s="1141"/>
      <c r="D57" s="1141"/>
      <c r="E57" s="1141"/>
      <c r="F57" s="1141"/>
      <c r="G57" s="1141"/>
      <c r="H57" s="1141"/>
      <c r="I57" s="1141">
        <v>1</v>
      </c>
      <c r="J57" s="1141"/>
      <c r="K57" s="1141"/>
      <c r="L57" s="1141"/>
      <c r="M57" s="1141"/>
      <c r="N57" s="1141"/>
      <c r="O57" s="1141"/>
      <c r="P57" s="1141"/>
      <c r="Q57" s="1141"/>
      <c r="R57" s="1141"/>
      <c r="S57" s="1141"/>
      <c r="T57" s="1141"/>
      <c r="U57" s="1141"/>
      <c r="V57" s="1141"/>
      <c r="W57" s="1141">
        <v>4</v>
      </c>
      <c r="X57" s="1141"/>
      <c r="Y57" s="1141"/>
      <c r="Z57" s="1141"/>
      <c r="AA57" s="1141"/>
      <c r="AB57" s="1141"/>
      <c r="AC57" s="1142">
        <f t="shared" si="3"/>
        <v>5</v>
      </c>
    </row>
    <row r="58" spans="1:29" ht="12.75" customHeight="1">
      <c r="A58" s="473" t="s">
        <v>188</v>
      </c>
      <c r="B58" s="1141"/>
      <c r="C58" s="1141"/>
      <c r="D58" s="1141"/>
      <c r="E58" s="1141"/>
      <c r="F58" s="1141"/>
      <c r="G58" s="1141"/>
      <c r="H58" s="1141"/>
      <c r="I58" s="1141"/>
      <c r="J58" s="1141"/>
      <c r="K58" s="1141">
        <v>1</v>
      </c>
      <c r="L58" s="1141"/>
      <c r="M58" s="1141"/>
      <c r="N58" s="1141"/>
      <c r="O58" s="1141"/>
      <c r="P58" s="1141"/>
      <c r="Q58" s="1141"/>
      <c r="R58" s="1141">
        <v>1</v>
      </c>
      <c r="S58" s="1141"/>
      <c r="T58" s="1141"/>
      <c r="U58" s="1141"/>
      <c r="V58" s="1141">
        <v>1</v>
      </c>
      <c r="W58" s="1141"/>
      <c r="X58" s="1141">
        <v>8</v>
      </c>
      <c r="Y58" s="1141"/>
      <c r="Z58" s="1141"/>
      <c r="AA58" s="1141"/>
      <c r="AB58" s="1141">
        <v>1</v>
      </c>
      <c r="AC58" s="1142">
        <f t="shared" si="3"/>
        <v>12</v>
      </c>
    </row>
    <row r="59" spans="1:29" ht="12.75" customHeight="1">
      <c r="A59" s="473" t="s">
        <v>189</v>
      </c>
      <c r="B59" s="1141"/>
      <c r="C59" s="1141"/>
      <c r="D59" s="1141"/>
      <c r="E59" s="1141"/>
      <c r="F59" s="1141"/>
      <c r="G59" s="1141"/>
      <c r="H59" s="1141"/>
      <c r="I59" s="1141"/>
      <c r="J59" s="1141"/>
      <c r="K59" s="1141"/>
      <c r="L59" s="1141"/>
      <c r="M59" s="1141"/>
      <c r="N59" s="1141"/>
      <c r="O59" s="1141"/>
      <c r="P59" s="1141"/>
      <c r="Q59" s="1141"/>
      <c r="R59" s="1141"/>
      <c r="S59" s="1141"/>
      <c r="T59" s="1141"/>
      <c r="U59" s="1141"/>
      <c r="V59" s="1141"/>
      <c r="W59" s="1141"/>
      <c r="X59" s="1141"/>
      <c r="Y59" s="1141">
        <v>3</v>
      </c>
      <c r="Z59" s="1141"/>
      <c r="AA59" s="1141"/>
      <c r="AB59" s="1141"/>
      <c r="AC59" s="1142">
        <f t="shared" si="3"/>
        <v>3</v>
      </c>
    </row>
    <row r="60" spans="1:29" ht="12.75" customHeight="1">
      <c r="A60" s="473" t="s">
        <v>190</v>
      </c>
      <c r="B60" s="1141"/>
      <c r="C60" s="1141"/>
      <c r="D60" s="1141"/>
      <c r="E60" s="1141"/>
      <c r="F60" s="1141"/>
      <c r="G60" s="1141"/>
      <c r="H60" s="1141"/>
      <c r="I60" s="1141"/>
      <c r="J60" s="1141"/>
      <c r="K60" s="1141"/>
      <c r="L60" s="1141"/>
      <c r="M60" s="1141"/>
      <c r="N60" s="1141"/>
      <c r="O60" s="1141"/>
      <c r="P60" s="1141"/>
      <c r="Q60" s="1141"/>
      <c r="R60" s="1141"/>
      <c r="S60" s="1141"/>
      <c r="T60" s="1141"/>
      <c r="U60" s="1141"/>
      <c r="V60" s="1141"/>
      <c r="W60" s="1141"/>
      <c r="X60" s="1141"/>
      <c r="Y60" s="1141"/>
      <c r="Z60" s="1141">
        <v>2</v>
      </c>
      <c r="AA60" s="1141"/>
      <c r="AB60" s="1141"/>
      <c r="AC60" s="1142">
        <f t="shared" si="3"/>
        <v>2</v>
      </c>
    </row>
    <row r="61" spans="1:29" ht="12.75" customHeight="1">
      <c r="A61" s="473" t="s">
        <v>191</v>
      </c>
      <c r="B61" s="1141">
        <v>1</v>
      </c>
      <c r="C61" s="1141"/>
      <c r="D61" s="1141"/>
      <c r="E61" s="1141">
        <v>1</v>
      </c>
      <c r="F61" s="1141"/>
      <c r="G61" s="1141"/>
      <c r="H61" s="1141"/>
      <c r="I61" s="1141"/>
      <c r="J61" s="1141"/>
      <c r="K61" s="1141"/>
      <c r="L61" s="1141"/>
      <c r="M61" s="1141"/>
      <c r="N61" s="1141"/>
      <c r="O61" s="1141"/>
      <c r="P61" s="1141"/>
      <c r="Q61" s="1141"/>
      <c r="R61" s="1141"/>
      <c r="S61" s="1141"/>
      <c r="T61" s="1141"/>
      <c r="U61" s="1141">
        <v>2</v>
      </c>
      <c r="V61" s="1141"/>
      <c r="W61" s="1141"/>
      <c r="X61" s="1141"/>
      <c r="Y61" s="1141"/>
      <c r="Z61" s="1141">
        <v>1</v>
      </c>
      <c r="AA61" s="1141">
        <v>12</v>
      </c>
      <c r="AB61" s="1141"/>
      <c r="AC61" s="1142">
        <f t="shared" si="3"/>
        <v>17</v>
      </c>
    </row>
    <row r="62" spans="1:29" ht="12.75" customHeight="1">
      <c r="A62" s="474" t="s">
        <v>192</v>
      </c>
      <c r="B62" s="1143"/>
      <c r="C62" s="1143"/>
      <c r="D62" s="1143"/>
      <c r="E62" s="1143"/>
      <c r="F62" s="1143"/>
      <c r="G62" s="1143"/>
      <c r="H62" s="1143"/>
      <c r="I62" s="1143">
        <v>1</v>
      </c>
      <c r="J62" s="1143"/>
      <c r="K62" s="1143"/>
      <c r="L62" s="1143"/>
      <c r="M62" s="1143"/>
      <c r="N62" s="1143"/>
      <c r="O62" s="1143">
        <v>1</v>
      </c>
      <c r="P62" s="1143"/>
      <c r="Q62" s="1143"/>
      <c r="R62" s="1143"/>
      <c r="S62" s="1143"/>
      <c r="T62" s="1143"/>
      <c r="U62" s="1143">
        <v>2</v>
      </c>
      <c r="V62" s="1143"/>
      <c r="W62" s="1143"/>
      <c r="X62" s="1143"/>
      <c r="Y62" s="1143"/>
      <c r="Z62" s="1143"/>
      <c r="AA62" s="1143"/>
      <c r="AB62" s="1143">
        <v>10</v>
      </c>
      <c r="AC62" s="1144">
        <f t="shared" si="3"/>
        <v>14</v>
      </c>
    </row>
    <row r="63" spans="1:29" ht="14.25" customHeight="1">
      <c r="A63" s="476" t="s">
        <v>149</v>
      </c>
      <c r="B63" s="1146">
        <f t="shared" ref="B63:AC63" si="4">SUM(B37:B62)</f>
        <v>10</v>
      </c>
      <c r="C63" s="1146">
        <f t="shared" si="4"/>
        <v>3</v>
      </c>
      <c r="D63" s="1146">
        <f t="shared" si="4"/>
        <v>5</v>
      </c>
      <c r="E63" s="1146">
        <f t="shared" si="4"/>
        <v>15</v>
      </c>
      <c r="F63" s="1146">
        <f t="shared" si="4"/>
        <v>2</v>
      </c>
      <c r="G63" s="1146">
        <f t="shared" si="4"/>
        <v>1</v>
      </c>
      <c r="H63" s="1146">
        <f t="shared" si="4"/>
        <v>0</v>
      </c>
      <c r="I63" s="1146">
        <f t="shared" si="4"/>
        <v>15</v>
      </c>
      <c r="J63" s="1146">
        <f t="shared" si="4"/>
        <v>5</v>
      </c>
      <c r="K63" s="1146">
        <f t="shared" si="4"/>
        <v>9</v>
      </c>
      <c r="L63" s="1146">
        <f t="shared" si="4"/>
        <v>1</v>
      </c>
      <c r="M63" s="1146">
        <f t="shared" si="4"/>
        <v>14</v>
      </c>
      <c r="N63" s="1146">
        <f t="shared" si="4"/>
        <v>6</v>
      </c>
      <c r="O63" s="1146">
        <f t="shared" si="4"/>
        <v>11</v>
      </c>
      <c r="P63" s="1146">
        <f t="shared" si="4"/>
        <v>7</v>
      </c>
      <c r="Q63" s="1146">
        <f t="shared" si="4"/>
        <v>14</v>
      </c>
      <c r="R63" s="1146">
        <f t="shared" si="4"/>
        <v>5</v>
      </c>
      <c r="S63" s="1146">
        <f t="shared" si="4"/>
        <v>4</v>
      </c>
      <c r="T63" s="1146">
        <f t="shared" si="4"/>
        <v>7</v>
      </c>
      <c r="U63" s="1146">
        <f t="shared" si="4"/>
        <v>31</v>
      </c>
      <c r="V63" s="1146">
        <f t="shared" si="4"/>
        <v>8</v>
      </c>
      <c r="W63" s="1146">
        <f t="shared" si="4"/>
        <v>4</v>
      </c>
      <c r="X63" s="1146">
        <f t="shared" si="4"/>
        <v>10</v>
      </c>
      <c r="Y63" s="1146">
        <f t="shared" si="4"/>
        <v>3</v>
      </c>
      <c r="Z63" s="1146">
        <f t="shared" si="4"/>
        <v>4</v>
      </c>
      <c r="AA63" s="1146">
        <f t="shared" si="4"/>
        <v>13</v>
      </c>
      <c r="AB63" s="1146">
        <f t="shared" si="4"/>
        <v>15</v>
      </c>
      <c r="AC63" s="1146">
        <f t="shared" si="4"/>
        <v>222</v>
      </c>
    </row>
    <row r="64" spans="1:29" ht="14.25" customHeight="1">
      <c r="A64" s="473" t="s">
        <v>171</v>
      </c>
      <c r="B64" s="1141"/>
      <c r="C64" s="1141"/>
      <c r="D64" s="1141">
        <v>1</v>
      </c>
      <c r="E64" s="1141"/>
      <c r="F64" s="1141"/>
      <c r="G64" s="1141"/>
      <c r="H64" s="1141"/>
      <c r="I64" s="1141"/>
      <c r="J64" s="1141"/>
      <c r="K64" s="1141"/>
      <c r="L64" s="1141"/>
      <c r="M64" s="1141"/>
      <c r="N64" s="1141"/>
      <c r="O64" s="1141"/>
      <c r="P64" s="1141"/>
      <c r="Q64" s="1141"/>
      <c r="R64" s="1141"/>
      <c r="S64" s="1141"/>
      <c r="T64" s="1141"/>
      <c r="U64" s="1141"/>
      <c r="V64" s="1141"/>
      <c r="W64" s="1141"/>
      <c r="X64" s="1141"/>
      <c r="Y64" s="1141"/>
      <c r="Z64" s="1141"/>
      <c r="AA64" s="1141"/>
      <c r="AB64" s="1141"/>
      <c r="AC64" s="1142">
        <f t="shared" ref="AC64:AC74" si="5">SUM(B64:AB64)</f>
        <v>1</v>
      </c>
    </row>
    <row r="65" spans="1:38" ht="14.25" customHeight="1">
      <c r="A65" s="473" t="s">
        <v>203</v>
      </c>
      <c r="B65" s="1141"/>
      <c r="C65" s="1141"/>
      <c r="D65" s="1141"/>
      <c r="E65" s="1141"/>
      <c r="F65" s="1141"/>
      <c r="G65" s="1141">
        <v>1</v>
      </c>
      <c r="H65" s="1141"/>
      <c r="I65" s="1141"/>
      <c r="J65" s="1141"/>
      <c r="K65" s="1141"/>
      <c r="L65" s="1141"/>
      <c r="M65" s="1141"/>
      <c r="N65" s="1141"/>
      <c r="O65" s="1141"/>
      <c r="P65" s="1141"/>
      <c r="Q65" s="1141"/>
      <c r="R65" s="1141"/>
      <c r="S65" s="1141"/>
      <c r="T65" s="1141"/>
      <c r="U65" s="1141"/>
      <c r="V65" s="1141"/>
      <c r="W65" s="1141"/>
      <c r="X65" s="1141"/>
      <c r="Y65" s="1141"/>
      <c r="Z65" s="1141"/>
      <c r="AA65" s="1141"/>
      <c r="AB65" s="1141"/>
      <c r="AC65" s="1142">
        <f t="shared" si="5"/>
        <v>1</v>
      </c>
    </row>
    <row r="66" spans="1:38">
      <c r="A66" s="473" t="s">
        <v>175</v>
      </c>
      <c r="B66" s="1141"/>
      <c r="C66" s="1141"/>
      <c r="D66" s="1141"/>
      <c r="E66" s="1141"/>
      <c r="F66" s="1141"/>
      <c r="G66" s="1141"/>
      <c r="H66" s="1141"/>
      <c r="I66" s="1141"/>
      <c r="J66" s="1141">
        <v>1</v>
      </c>
      <c r="K66" s="1141"/>
      <c r="L66" s="1141"/>
      <c r="M66" s="1141"/>
      <c r="N66" s="1141"/>
      <c r="O66" s="1141"/>
      <c r="P66" s="1141"/>
      <c r="Q66" s="1141"/>
      <c r="R66" s="1141"/>
      <c r="S66" s="1141"/>
      <c r="T66" s="1141"/>
      <c r="U66" s="1141"/>
      <c r="V66" s="1141"/>
      <c r="W66" s="1141"/>
      <c r="X66" s="1141"/>
      <c r="Y66" s="1141"/>
      <c r="Z66" s="1141"/>
      <c r="AA66" s="1141"/>
      <c r="AB66" s="1141"/>
      <c r="AC66" s="1142">
        <f t="shared" si="5"/>
        <v>1</v>
      </c>
    </row>
    <row r="67" spans="1:38">
      <c r="A67" s="473" t="s">
        <v>177</v>
      </c>
      <c r="B67" s="1141"/>
      <c r="C67" s="1141"/>
      <c r="D67" s="1141"/>
      <c r="E67" s="1141"/>
      <c r="F67" s="1141"/>
      <c r="G67" s="1141"/>
      <c r="H67" s="1141"/>
      <c r="I67" s="1141"/>
      <c r="J67" s="1141"/>
      <c r="K67" s="1141"/>
      <c r="L67" s="1141"/>
      <c r="M67" s="1141">
        <v>2</v>
      </c>
      <c r="N67" s="1141"/>
      <c r="O67" s="1141"/>
      <c r="P67" s="1141"/>
      <c r="Q67" s="1141"/>
      <c r="R67" s="1141"/>
      <c r="S67" s="1141"/>
      <c r="T67" s="1141"/>
      <c r="U67" s="1141"/>
      <c r="V67" s="1141"/>
      <c r="W67" s="1141"/>
      <c r="X67" s="1141"/>
      <c r="Y67" s="1141"/>
      <c r="Z67" s="1141"/>
      <c r="AA67" s="1141"/>
      <c r="AB67" s="1141"/>
      <c r="AC67" s="1142">
        <f t="shared" si="5"/>
        <v>2</v>
      </c>
    </row>
    <row r="68" spans="1:38" ht="12.75" customHeight="1">
      <c r="A68" s="473" t="s">
        <v>178</v>
      </c>
      <c r="B68" s="1141"/>
      <c r="C68" s="1141"/>
      <c r="D68" s="1141"/>
      <c r="E68" s="1141"/>
      <c r="F68" s="1141"/>
      <c r="G68" s="1141"/>
      <c r="H68" s="1141"/>
      <c r="I68" s="1141"/>
      <c r="J68" s="1141"/>
      <c r="K68" s="1141"/>
      <c r="L68" s="1141"/>
      <c r="M68" s="1141"/>
      <c r="N68" s="1141">
        <v>1</v>
      </c>
      <c r="O68" s="1141"/>
      <c r="P68" s="1141"/>
      <c r="Q68" s="1141"/>
      <c r="R68" s="1141"/>
      <c r="S68" s="1141"/>
      <c r="T68" s="1141"/>
      <c r="U68" s="1141"/>
      <c r="V68" s="1141"/>
      <c r="W68" s="1141"/>
      <c r="X68" s="1141"/>
      <c r="Y68" s="1141"/>
      <c r="Z68" s="1141"/>
      <c r="AA68" s="1141"/>
      <c r="AB68" s="1141"/>
      <c r="AC68" s="1142">
        <f t="shared" si="5"/>
        <v>1</v>
      </c>
    </row>
    <row r="69" spans="1:38">
      <c r="A69" s="473" t="s">
        <v>180</v>
      </c>
      <c r="B69" s="1141"/>
      <c r="C69" s="1141"/>
      <c r="D69" s="1141"/>
      <c r="E69" s="1141"/>
      <c r="F69" s="1141"/>
      <c r="G69" s="1141"/>
      <c r="H69" s="1141"/>
      <c r="I69" s="1141"/>
      <c r="J69" s="1141"/>
      <c r="K69" s="1141"/>
      <c r="L69" s="1141"/>
      <c r="M69" s="1141"/>
      <c r="N69" s="1141"/>
      <c r="O69" s="1141"/>
      <c r="P69" s="1141">
        <v>3</v>
      </c>
      <c r="Q69" s="1141"/>
      <c r="R69" s="1141"/>
      <c r="S69" s="1141"/>
      <c r="T69" s="1141"/>
      <c r="U69" s="1141"/>
      <c r="V69" s="1141"/>
      <c r="W69" s="1141"/>
      <c r="X69" s="1141"/>
      <c r="Y69" s="1141"/>
      <c r="Z69" s="1141"/>
      <c r="AA69" s="1141"/>
      <c r="AB69" s="1141"/>
      <c r="AC69" s="1142">
        <f t="shared" si="5"/>
        <v>3</v>
      </c>
    </row>
    <row r="70" spans="1:38" ht="15" customHeight="1">
      <c r="A70" s="473" t="s">
        <v>182</v>
      </c>
      <c r="B70" s="1141"/>
      <c r="C70" s="1141"/>
      <c r="D70" s="1141"/>
      <c r="E70" s="1141"/>
      <c r="F70" s="1141"/>
      <c r="G70" s="1141"/>
      <c r="H70" s="1141"/>
      <c r="I70" s="1141"/>
      <c r="J70" s="1141"/>
      <c r="K70" s="1141"/>
      <c r="L70" s="1141"/>
      <c r="M70" s="1141"/>
      <c r="N70" s="1141"/>
      <c r="O70" s="1141"/>
      <c r="P70" s="1141"/>
      <c r="Q70" s="1141"/>
      <c r="R70" s="1141">
        <v>2</v>
      </c>
      <c r="S70" s="1141"/>
      <c r="T70" s="1141"/>
      <c r="U70" s="1141"/>
      <c r="V70" s="1141"/>
      <c r="W70" s="1141"/>
      <c r="X70" s="1141"/>
      <c r="Y70" s="1141"/>
      <c r="Z70" s="1141"/>
      <c r="AA70" s="1141"/>
      <c r="AB70" s="1141"/>
      <c r="AC70" s="1142">
        <f t="shared" si="5"/>
        <v>2</v>
      </c>
      <c r="AL70" s="1757">
        <f>8/72</f>
        <v>0.1111111111111111</v>
      </c>
    </row>
    <row r="71" spans="1:38" ht="15.75" customHeight="1">
      <c r="A71" s="473" t="s">
        <v>184</v>
      </c>
      <c r="B71" s="1141"/>
      <c r="C71" s="1141"/>
      <c r="D71" s="1141"/>
      <c r="E71" s="1141"/>
      <c r="F71" s="1141"/>
      <c r="G71" s="1141"/>
      <c r="H71" s="1141"/>
      <c r="I71" s="1141"/>
      <c r="J71" s="1141"/>
      <c r="K71" s="1141"/>
      <c r="L71" s="1141"/>
      <c r="M71" s="1141"/>
      <c r="N71" s="1141"/>
      <c r="O71" s="1141"/>
      <c r="P71" s="1141"/>
      <c r="Q71" s="1141"/>
      <c r="R71" s="1141"/>
      <c r="S71" s="1141"/>
      <c r="T71" s="1141">
        <v>1</v>
      </c>
      <c r="U71" s="1141"/>
      <c r="V71" s="1141"/>
      <c r="W71" s="1141"/>
      <c r="X71" s="1141"/>
      <c r="Y71" s="1141"/>
      <c r="Z71" s="1141"/>
      <c r="AA71" s="1141"/>
      <c r="AB71" s="1141"/>
      <c r="AC71" s="1142">
        <f t="shared" si="5"/>
        <v>1</v>
      </c>
      <c r="AH71" s="1757">
        <f>457/505</f>
        <v>0.90495049504950498</v>
      </c>
    </row>
    <row r="72" spans="1:38" ht="14.25" customHeight="1">
      <c r="A72" s="1257" t="s">
        <v>186</v>
      </c>
      <c r="B72" s="1258"/>
      <c r="C72" s="1258"/>
      <c r="D72" s="1258"/>
      <c r="E72" s="1258"/>
      <c r="F72" s="1258"/>
      <c r="G72" s="1258"/>
      <c r="H72" s="1258"/>
      <c r="I72" s="1258"/>
      <c r="J72" s="1258"/>
      <c r="K72" s="1258"/>
      <c r="L72" s="1258"/>
      <c r="M72" s="1258">
        <v>1</v>
      </c>
      <c r="N72" s="1258"/>
      <c r="O72" s="1258"/>
      <c r="P72" s="1258"/>
      <c r="Q72" s="1258"/>
      <c r="R72" s="1258"/>
      <c r="S72" s="1258"/>
      <c r="T72" s="1258"/>
      <c r="U72" s="1258"/>
      <c r="V72" s="1258"/>
      <c r="W72" s="1258"/>
      <c r="X72" s="1258"/>
      <c r="Y72" s="1258"/>
      <c r="Z72" s="1258"/>
      <c r="AA72" s="1258"/>
      <c r="AB72" s="1258"/>
      <c r="AC72" s="1259">
        <f t="shared" si="5"/>
        <v>1</v>
      </c>
    </row>
    <row r="73" spans="1:38">
      <c r="A73" s="473" t="s">
        <v>187</v>
      </c>
      <c r="B73" s="1141"/>
      <c r="C73" s="1141"/>
      <c r="D73" s="1141"/>
      <c r="E73" s="1141"/>
      <c r="F73" s="1141"/>
      <c r="G73" s="1141"/>
      <c r="H73" s="1141"/>
      <c r="I73" s="1141"/>
      <c r="J73" s="1141"/>
      <c r="K73" s="1141"/>
      <c r="L73" s="1141"/>
      <c r="M73" s="1141"/>
      <c r="N73" s="1141"/>
      <c r="O73" s="1141"/>
      <c r="P73" s="1141"/>
      <c r="Q73" s="1141"/>
      <c r="R73" s="1141"/>
      <c r="S73" s="1141"/>
      <c r="T73" s="1141"/>
      <c r="U73" s="1141"/>
      <c r="V73" s="1141"/>
      <c r="W73" s="1141">
        <v>1</v>
      </c>
      <c r="X73" s="1141"/>
      <c r="Y73" s="1141"/>
      <c r="Z73" s="1141"/>
      <c r="AA73" s="1141"/>
      <c r="AB73" s="1141"/>
      <c r="AC73" s="1142">
        <f t="shared" si="5"/>
        <v>1</v>
      </c>
    </row>
    <row r="74" spans="1:38" ht="14.25" customHeight="1">
      <c r="A74" s="473" t="s">
        <v>189</v>
      </c>
      <c r="B74" s="1141"/>
      <c r="C74" s="1141"/>
      <c r="D74" s="1141"/>
      <c r="E74" s="1141"/>
      <c r="F74" s="1141"/>
      <c r="G74" s="1141"/>
      <c r="H74" s="1141"/>
      <c r="I74" s="1141"/>
      <c r="J74" s="1141"/>
      <c r="K74" s="1141"/>
      <c r="L74" s="1141"/>
      <c r="M74" s="1141"/>
      <c r="N74" s="1141"/>
      <c r="O74" s="1141"/>
      <c r="P74" s="1141"/>
      <c r="Q74" s="1141"/>
      <c r="R74" s="1141"/>
      <c r="S74" s="1141"/>
      <c r="T74" s="1141"/>
      <c r="U74" s="1141"/>
      <c r="V74" s="1141"/>
      <c r="W74" s="1141"/>
      <c r="X74" s="1141"/>
      <c r="Y74" s="1141">
        <v>1</v>
      </c>
      <c r="Z74" s="1141"/>
      <c r="AA74" s="1141"/>
      <c r="AB74" s="1141"/>
      <c r="AC74" s="1142">
        <f t="shared" si="5"/>
        <v>1</v>
      </c>
    </row>
    <row r="75" spans="1:38">
      <c r="A75" s="476" t="s">
        <v>261</v>
      </c>
      <c r="B75" s="1146">
        <f t="shared" ref="B75:AC75" si="6">SUM(B64:B74)</f>
        <v>0</v>
      </c>
      <c r="C75" s="1146">
        <f t="shared" si="6"/>
        <v>0</v>
      </c>
      <c r="D75" s="1146">
        <f t="shared" si="6"/>
        <v>1</v>
      </c>
      <c r="E75" s="1146">
        <f t="shared" si="6"/>
        <v>0</v>
      </c>
      <c r="F75" s="1146">
        <f t="shared" si="6"/>
        <v>0</v>
      </c>
      <c r="G75" s="1146">
        <f t="shared" si="6"/>
        <v>1</v>
      </c>
      <c r="H75" s="1146">
        <f t="shared" si="6"/>
        <v>0</v>
      </c>
      <c r="I75" s="1146">
        <f t="shared" si="6"/>
        <v>0</v>
      </c>
      <c r="J75" s="1146">
        <f t="shared" si="6"/>
        <v>1</v>
      </c>
      <c r="K75" s="1146">
        <f t="shared" si="6"/>
        <v>0</v>
      </c>
      <c r="L75" s="1146">
        <f t="shared" si="6"/>
        <v>0</v>
      </c>
      <c r="M75" s="1146">
        <f t="shared" si="6"/>
        <v>3</v>
      </c>
      <c r="N75" s="1146">
        <f t="shared" si="6"/>
        <v>1</v>
      </c>
      <c r="O75" s="1146">
        <f t="shared" si="6"/>
        <v>0</v>
      </c>
      <c r="P75" s="1146">
        <f t="shared" si="6"/>
        <v>3</v>
      </c>
      <c r="Q75" s="1146">
        <f t="shared" si="6"/>
        <v>0</v>
      </c>
      <c r="R75" s="1146">
        <f t="shared" si="6"/>
        <v>2</v>
      </c>
      <c r="S75" s="1146">
        <f t="shared" si="6"/>
        <v>0</v>
      </c>
      <c r="T75" s="1146">
        <f t="shared" si="6"/>
        <v>1</v>
      </c>
      <c r="U75" s="1146">
        <f t="shared" si="6"/>
        <v>0</v>
      </c>
      <c r="V75" s="1146">
        <f t="shared" si="6"/>
        <v>0</v>
      </c>
      <c r="W75" s="1146">
        <f t="shared" si="6"/>
        <v>1</v>
      </c>
      <c r="X75" s="1146">
        <f t="shared" si="6"/>
        <v>0</v>
      </c>
      <c r="Y75" s="1146">
        <f t="shared" si="6"/>
        <v>1</v>
      </c>
      <c r="Z75" s="1146">
        <f t="shared" si="6"/>
        <v>0</v>
      </c>
      <c r="AA75" s="1146">
        <f t="shared" si="6"/>
        <v>0</v>
      </c>
      <c r="AB75" s="1146">
        <f t="shared" si="6"/>
        <v>0</v>
      </c>
      <c r="AC75" s="1146">
        <f t="shared" si="6"/>
        <v>15</v>
      </c>
    </row>
    <row r="76" spans="1:38" ht="13.8" thickBot="1">
      <c r="A76" s="477"/>
      <c r="B76" s="477"/>
      <c r="C76" s="477"/>
      <c r="D76" s="477"/>
      <c r="E76" s="477"/>
      <c r="F76" s="477"/>
      <c r="G76" s="477"/>
      <c r="H76" s="477"/>
      <c r="I76" s="477"/>
      <c r="J76" s="477"/>
      <c r="K76" s="477"/>
      <c r="L76" s="477"/>
      <c r="M76" s="477"/>
      <c r="N76" s="477"/>
      <c r="O76" s="477"/>
      <c r="P76" s="477"/>
      <c r="Q76" s="477"/>
      <c r="R76" s="477"/>
      <c r="S76" s="477"/>
      <c r="T76" s="477"/>
      <c r="U76" s="477"/>
      <c r="V76" s="477"/>
      <c r="W76" s="477"/>
      <c r="X76" s="477"/>
      <c r="Y76" s="477"/>
      <c r="Z76" s="477"/>
      <c r="AA76" s="477"/>
      <c r="AB76" s="477"/>
      <c r="AC76" s="477"/>
    </row>
    <row r="77" spans="1:38" ht="65.400000000000006" thickBot="1">
      <c r="A77" s="463" t="s">
        <v>373</v>
      </c>
      <c r="B77" s="371" t="s">
        <v>169</v>
      </c>
      <c r="C77" s="371" t="s">
        <v>170</v>
      </c>
      <c r="D77" s="372" t="s">
        <v>171</v>
      </c>
      <c r="E77" s="372" t="s">
        <v>172</v>
      </c>
      <c r="F77" s="372" t="s">
        <v>173</v>
      </c>
      <c r="G77" s="372" t="s">
        <v>523</v>
      </c>
      <c r="H77" s="372" t="s">
        <v>204</v>
      </c>
      <c r="I77" s="372" t="s">
        <v>174</v>
      </c>
      <c r="J77" s="372" t="s">
        <v>175</v>
      </c>
      <c r="K77" s="372" t="s">
        <v>176</v>
      </c>
      <c r="L77" s="372" t="s">
        <v>199</v>
      </c>
      <c r="M77" s="372" t="s">
        <v>177</v>
      </c>
      <c r="N77" s="372" t="s">
        <v>178</v>
      </c>
      <c r="O77" s="372" t="s">
        <v>179</v>
      </c>
      <c r="P77" s="372" t="s">
        <v>180</v>
      </c>
      <c r="Q77" s="372" t="s">
        <v>181</v>
      </c>
      <c r="R77" s="372" t="s">
        <v>182</v>
      </c>
      <c r="S77" s="372" t="s">
        <v>183</v>
      </c>
      <c r="T77" s="372" t="s">
        <v>184</v>
      </c>
      <c r="U77" s="372" t="s">
        <v>185</v>
      </c>
      <c r="V77" s="372" t="s">
        <v>186</v>
      </c>
      <c r="W77" s="372" t="s">
        <v>187</v>
      </c>
      <c r="X77" s="372" t="s">
        <v>188</v>
      </c>
      <c r="Y77" s="372" t="s">
        <v>189</v>
      </c>
      <c r="Z77" s="372" t="s">
        <v>190</v>
      </c>
      <c r="AA77" s="372" t="s">
        <v>191</v>
      </c>
      <c r="AB77" s="372" t="s">
        <v>192</v>
      </c>
      <c r="AC77" s="373" t="s">
        <v>138</v>
      </c>
    </row>
    <row r="78" spans="1:38">
      <c r="A78" s="1260" t="s">
        <v>367</v>
      </c>
      <c r="B78" s="1137">
        <v>-2</v>
      </c>
      <c r="C78" s="1137">
        <v>4</v>
      </c>
      <c r="D78" s="1137">
        <v>2</v>
      </c>
      <c r="E78" s="1137">
        <v>3</v>
      </c>
      <c r="F78" s="1137">
        <v>0</v>
      </c>
      <c r="G78" s="1137">
        <v>2</v>
      </c>
      <c r="H78" s="1137">
        <v>0</v>
      </c>
      <c r="I78" s="1137">
        <v>-6</v>
      </c>
      <c r="J78" s="1137">
        <v>2</v>
      </c>
      <c r="K78" s="1137">
        <v>-2</v>
      </c>
      <c r="L78" s="1137">
        <v>0</v>
      </c>
      <c r="M78" s="1137">
        <v>-1</v>
      </c>
      <c r="N78" s="1137">
        <v>0</v>
      </c>
      <c r="O78" s="1137">
        <v>4</v>
      </c>
      <c r="P78" s="1137">
        <v>-1</v>
      </c>
      <c r="Q78" s="1137">
        <v>3</v>
      </c>
      <c r="R78" s="1137">
        <v>2</v>
      </c>
      <c r="S78" s="1137">
        <v>-1</v>
      </c>
      <c r="T78" s="1137"/>
      <c r="U78" s="1137">
        <v>-4</v>
      </c>
      <c r="V78" s="1137">
        <v>4</v>
      </c>
      <c r="W78" s="1137">
        <v>0</v>
      </c>
      <c r="X78" s="1137">
        <v>-1</v>
      </c>
      <c r="Y78" s="1137">
        <v>2</v>
      </c>
      <c r="Z78" s="1137">
        <v>-1</v>
      </c>
      <c r="AA78" s="1137">
        <v>-5</v>
      </c>
      <c r="AB78" s="1137">
        <v>-4</v>
      </c>
      <c r="AC78" s="1139">
        <f t="shared" ref="AC78:AC83" si="7">SUM(B78:AB78)</f>
        <v>0</v>
      </c>
      <c r="AH78" s="1757">
        <f>47/505</f>
        <v>9.3069306930693069E-2</v>
      </c>
      <c r="AJ78" s="460">
        <f>61/494</f>
        <v>0.12348178137651822</v>
      </c>
    </row>
    <row r="79" spans="1:38">
      <c r="A79" s="1261" t="s">
        <v>368</v>
      </c>
      <c r="B79" s="1138">
        <v>0</v>
      </c>
      <c r="C79" s="1138">
        <v>1</v>
      </c>
      <c r="D79" s="1138">
        <v>0</v>
      </c>
      <c r="E79" s="1138">
        <v>0</v>
      </c>
      <c r="F79" s="1138">
        <v>0</v>
      </c>
      <c r="G79" s="1138">
        <v>0</v>
      </c>
      <c r="H79" s="1138">
        <v>0</v>
      </c>
      <c r="I79" s="1138">
        <v>-3</v>
      </c>
      <c r="J79" s="1138">
        <v>3</v>
      </c>
      <c r="K79" s="1138">
        <v>-5</v>
      </c>
      <c r="L79" s="1138">
        <v>0</v>
      </c>
      <c r="M79" s="1138">
        <v>1</v>
      </c>
      <c r="N79" s="1138">
        <v>0</v>
      </c>
      <c r="O79" s="1138">
        <v>3</v>
      </c>
      <c r="P79" s="1138">
        <v>1</v>
      </c>
      <c r="Q79" s="1138">
        <v>0</v>
      </c>
      <c r="R79" s="1138">
        <v>-3</v>
      </c>
      <c r="S79" s="1138">
        <v>1</v>
      </c>
      <c r="T79" s="1138">
        <v>3</v>
      </c>
      <c r="U79" s="1138">
        <v>-8</v>
      </c>
      <c r="V79" s="1138">
        <v>2</v>
      </c>
      <c r="W79" s="1138">
        <v>1</v>
      </c>
      <c r="X79" s="1138">
        <v>2</v>
      </c>
      <c r="Y79" s="1138">
        <v>0</v>
      </c>
      <c r="Z79" s="1138">
        <v>-2</v>
      </c>
      <c r="AA79" s="1138">
        <v>4</v>
      </c>
      <c r="AB79" s="1138">
        <v>-1</v>
      </c>
      <c r="AC79" s="1140">
        <f t="shared" si="7"/>
        <v>0</v>
      </c>
      <c r="AH79" s="1757">
        <f>48/505</f>
        <v>9.5049504950495051E-2</v>
      </c>
    </row>
    <row r="80" spans="1:38">
      <c r="A80" s="1262" t="s">
        <v>369</v>
      </c>
      <c r="B80" s="1155">
        <v>0</v>
      </c>
      <c r="C80" s="1155">
        <v>0</v>
      </c>
      <c r="D80" s="1155">
        <v>0</v>
      </c>
      <c r="E80" s="1155"/>
      <c r="F80" s="1155">
        <v>0</v>
      </c>
      <c r="G80" s="1155"/>
      <c r="H80" s="1155">
        <v>0</v>
      </c>
      <c r="I80" s="1155">
        <v>0</v>
      </c>
      <c r="J80" s="1155">
        <v>0</v>
      </c>
      <c r="K80" s="1155">
        <v>0</v>
      </c>
      <c r="L80" s="1155">
        <v>0</v>
      </c>
      <c r="M80" s="1155">
        <v>-1</v>
      </c>
      <c r="N80" s="1155">
        <v>0</v>
      </c>
      <c r="O80" s="1155">
        <v>0</v>
      </c>
      <c r="P80" s="1155">
        <v>0</v>
      </c>
      <c r="Q80" s="1155">
        <v>0</v>
      </c>
      <c r="R80" s="1155">
        <v>0</v>
      </c>
      <c r="S80" s="1155">
        <v>0</v>
      </c>
      <c r="T80" s="1155">
        <v>0</v>
      </c>
      <c r="U80" s="1155">
        <v>0</v>
      </c>
      <c r="V80" s="1155">
        <v>1</v>
      </c>
      <c r="W80" s="1155">
        <v>0</v>
      </c>
      <c r="X80" s="1155">
        <v>0</v>
      </c>
      <c r="Y80" s="1155">
        <v>0</v>
      </c>
      <c r="Z80" s="1155">
        <v>0</v>
      </c>
      <c r="AA80" s="1155">
        <v>0</v>
      </c>
      <c r="AB80" s="1155">
        <v>0</v>
      </c>
      <c r="AC80" s="1156">
        <f t="shared" si="7"/>
        <v>0</v>
      </c>
    </row>
    <row r="81" spans="1:36">
      <c r="A81" s="1160" t="s">
        <v>370</v>
      </c>
      <c r="B81" s="1161">
        <f t="shared" ref="B81:AB81" si="8">SUM(B78:B80)</f>
        <v>-2</v>
      </c>
      <c r="C81" s="1161">
        <f t="shared" si="8"/>
        <v>5</v>
      </c>
      <c r="D81" s="1161">
        <f t="shared" si="8"/>
        <v>2</v>
      </c>
      <c r="E81" s="1161">
        <f t="shared" si="8"/>
        <v>3</v>
      </c>
      <c r="F81" s="1161">
        <f t="shared" si="8"/>
        <v>0</v>
      </c>
      <c r="G81" s="1161">
        <f t="shared" si="8"/>
        <v>2</v>
      </c>
      <c r="H81" s="1161">
        <f t="shared" si="8"/>
        <v>0</v>
      </c>
      <c r="I81" s="1161">
        <f t="shared" si="8"/>
        <v>-9</v>
      </c>
      <c r="J81" s="1161">
        <f t="shared" si="8"/>
        <v>5</v>
      </c>
      <c r="K81" s="1161">
        <f t="shared" si="8"/>
        <v>-7</v>
      </c>
      <c r="L81" s="1161">
        <f t="shared" si="8"/>
        <v>0</v>
      </c>
      <c r="M81" s="1161">
        <f t="shared" si="8"/>
        <v>-1</v>
      </c>
      <c r="N81" s="1161">
        <f t="shared" si="8"/>
        <v>0</v>
      </c>
      <c r="O81" s="1161">
        <f t="shared" si="8"/>
        <v>7</v>
      </c>
      <c r="P81" s="1161">
        <f t="shared" si="8"/>
        <v>0</v>
      </c>
      <c r="Q81" s="1161">
        <f t="shared" si="8"/>
        <v>3</v>
      </c>
      <c r="R81" s="1161">
        <f t="shared" si="8"/>
        <v>-1</v>
      </c>
      <c r="S81" s="1161">
        <f t="shared" si="8"/>
        <v>0</v>
      </c>
      <c r="T81" s="1161">
        <f t="shared" si="8"/>
        <v>3</v>
      </c>
      <c r="U81" s="1161">
        <f t="shared" si="8"/>
        <v>-12</v>
      </c>
      <c r="V81" s="1161">
        <f t="shared" si="8"/>
        <v>7</v>
      </c>
      <c r="W81" s="1161">
        <f t="shared" si="8"/>
        <v>1</v>
      </c>
      <c r="X81" s="1161">
        <f t="shared" si="8"/>
        <v>1</v>
      </c>
      <c r="Y81" s="1161">
        <f t="shared" si="8"/>
        <v>2</v>
      </c>
      <c r="Z81" s="1161">
        <f t="shared" si="8"/>
        <v>-3</v>
      </c>
      <c r="AA81" s="1161">
        <f t="shared" si="8"/>
        <v>-1</v>
      </c>
      <c r="AB81" s="1161">
        <f t="shared" si="8"/>
        <v>-5</v>
      </c>
      <c r="AC81" s="1161">
        <f t="shared" si="7"/>
        <v>0</v>
      </c>
      <c r="AG81" s="1802"/>
    </row>
    <row r="82" spans="1:36">
      <c r="A82" s="1157" t="s">
        <v>371</v>
      </c>
      <c r="B82" s="1158">
        <f t="shared" ref="B82:AC82" si="9">B36+B63+B75</f>
        <v>24</v>
      </c>
      <c r="C82" s="1158">
        <f t="shared" si="9"/>
        <v>7</v>
      </c>
      <c r="D82" s="1158">
        <f t="shared" si="9"/>
        <v>9</v>
      </c>
      <c r="E82" s="1158">
        <f t="shared" si="9"/>
        <v>22</v>
      </c>
      <c r="F82" s="1158">
        <f t="shared" si="9"/>
        <v>4</v>
      </c>
      <c r="G82" s="1158">
        <f t="shared" si="9"/>
        <v>4</v>
      </c>
      <c r="H82" s="1158">
        <f t="shared" si="9"/>
        <v>1</v>
      </c>
      <c r="I82" s="1158">
        <f t="shared" si="9"/>
        <v>34</v>
      </c>
      <c r="J82" s="1158">
        <f t="shared" si="9"/>
        <v>9</v>
      </c>
      <c r="K82" s="1158">
        <f t="shared" si="9"/>
        <v>20</v>
      </c>
      <c r="L82" s="1158">
        <f t="shared" si="9"/>
        <v>2</v>
      </c>
      <c r="M82" s="1158">
        <f t="shared" si="9"/>
        <v>35</v>
      </c>
      <c r="N82" s="1158">
        <f t="shared" si="9"/>
        <v>10</v>
      </c>
      <c r="O82" s="1158">
        <f t="shared" si="9"/>
        <v>22</v>
      </c>
      <c r="P82" s="1158">
        <f t="shared" si="9"/>
        <v>20</v>
      </c>
      <c r="Q82" s="1158">
        <f t="shared" si="9"/>
        <v>22</v>
      </c>
      <c r="R82" s="1158">
        <f t="shared" si="9"/>
        <v>12</v>
      </c>
      <c r="S82" s="1158">
        <f t="shared" si="9"/>
        <v>8</v>
      </c>
      <c r="T82" s="1158">
        <f t="shared" si="9"/>
        <v>10</v>
      </c>
      <c r="U82" s="1158">
        <f t="shared" si="9"/>
        <v>64</v>
      </c>
      <c r="V82" s="1158">
        <f t="shared" si="9"/>
        <v>11</v>
      </c>
      <c r="W82" s="1158">
        <f t="shared" si="9"/>
        <v>8</v>
      </c>
      <c r="X82" s="1158">
        <f t="shared" si="9"/>
        <v>25</v>
      </c>
      <c r="Y82" s="1158">
        <f t="shared" si="9"/>
        <v>6</v>
      </c>
      <c r="Z82" s="1158">
        <f t="shared" si="9"/>
        <v>13</v>
      </c>
      <c r="AA82" s="1158">
        <f t="shared" si="9"/>
        <v>27</v>
      </c>
      <c r="AB82" s="1158">
        <f t="shared" si="9"/>
        <v>28</v>
      </c>
      <c r="AC82" s="1159">
        <f t="shared" si="9"/>
        <v>457</v>
      </c>
    </row>
    <row r="83" spans="1:36" ht="21.6" thickBot="1">
      <c r="A83" s="464" t="s">
        <v>372</v>
      </c>
      <c r="B83" s="465">
        <v>7</v>
      </c>
      <c r="C83" s="465">
        <v>1</v>
      </c>
      <c r="D83" s="465"/>
      <c r="E83" s="465">
        <v>3</v>
      </c>
      <c r="F83" s="465">
        <v>1</v>
      </c>
      <c r="G83" s="465">
        <v>1</v>
      </c>
      <c r="H83" s="465"/>
      <c r="I83" s="465">
        <v>4</v>
      </c>
      <c r="J83" s="465"/>
      <c r="K83" s="465">
        <v>3</v>
      </c>
      <c r="L83" s="465"/>
      <c r="M83" s="465">
        <v>3</v>
      </c>
      <c r="N83" s="465"/>
      <c r="O83" s="465">
        <v>2</v>
      </c>
      <c r="P83" s="465">
        <v>2</v>
      </c>
      <c r="Q83" s="465">
        <v>1</v>
      </c>
      <c r="R83" s="465">
        <v>1</v>
      </c>
      <c r="S83" s="465">
        <v>2</v>
      </c>
      <c r="T83" s="465"/>
      <c r="U83" s="465">
        <v>8</v>
      </c>
      <c r="V83" s="465"/>
      <c r="W83" s="465"/>
      <c r="X83" s="465">
        <v>3</v>
      </c>
      <c r="Y83" s="465"/>
      <c r="Z83" s="465">
        <v>1</v>
      </c>
      <c r="AA83" s="465"/>
      <c r="AB83" s="465">
        <v>5</v>
      </c>
      <c r="AC83" s="981">
        <f t="shared" si="7"/>
        <v>48</v>
      </c>
      <c r="AH83" s="1757">
        <f>457/505</f>
        <v>0.90495049504950498</v>
      </c>
      <c r="AJ83" s="1757">
        <f>48/505</f>
        <v>9.5049504950495051E-2</v>
      </c>
    </row>
    <row r="84" spans="1:36">
      <c r="A84" s="462" t="str">
        <f>'fiche technique'!A14</f>
        <v>Source: GALAXIE (ANTEE), DGRH A1-1 &amp; DGRH A2, juin 2014</v>
      </c>
      <c r="B84" s="466"/>
      <c r="C84" s="466"/>
      <c r="D84" s="466"/>
      <c r="E84" s="466"/>
      <c r="F84" s="466"/>
      <c r="G84" s="466"/>
      <c r="H84" s="466"/>
      <c r="I84" s="466"/>
      <c r="J84" s="466"/>
      <c r="K84" s="466"/>
      <c r="L84" s="466"/>
      <c r="M84" s="466"/>
      <c r="N84" s="466"/>
      <c r="O84" s="466"/>
      <c r="P84" s="466"/>
      <c r="Q84" s="466"/>
      <c r="R84" s="466"/>
      <c r="S84" s="466"/>
      <c r="T84" s="466"/>
      <c r="U84" s="466"/>
      <c r="V84" s="466"/>
      <c r="W84" s="466"/>
      <c r="X84" s="466"/>
      <c r="Y84" s="466"/>
      <c r="Z84" s="466"/>
      <c r="AA84" s="466"/>
      <c r="AB84" s="466"/>
      <c r="AC84" s="466"/>
    </row>
    <row r="85" spans="1:36">
      <c r="A85" s="460" t="s">
        <v>1005</v>
      </c>
    </row>
  </sheetData>
  <mergeCells count="4">
    <mergeCell ref="A2:AC2"/>
    <mergeCell ref="A4:AC4"/>
    <mergeCell ref="A5:AC5"/>
    <mergeCell ref="A6:AC6"/>
  </mergeCells>
  <printOptions horizontalCentered="1"/>
  <pageMargins left="0.39370078740157483" right="0.39370078740157483" top="0.39370078740157483" bottom="0" header="0.11811023622047245" footer="0.11811023622047245"/>
  <pageSetup paperSize="9" scale="63" orientation="portrait" r:id="rId1"/>
  <headerFooter alignWithMargins="0">
    <oddHeader>&amp;LDGRH A1-1</oddHeader>
    <oddFooter>&amp;CPage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Feuil24" enableFormatConditionsCalculation="0">
    <tabColor rgb="FF00B050"/>
  </sheetPr>
  <dimension ref="A1:T61"/>
  <sheetViews>
    <sheetView showZeros="0" workbookViewId="0">
      <selection activeCell="L18" sqref="L18"/>
    </sheetView>
  </sheetViews>
  <sheetFormatPr baseColWidth="10" defaultColWidth="11.44140625" defaultRowHeight="13.2"/>
  <cols>
    <col min="1" max="1" width="12.88671875" style="34" customWidth="1"/>
    <col min="2" max="2" width="36.109375" style="33" customWidth="1"/>
    <col min="3" max="3" width="11.33203125" style="33" customWidth="1"/>
    <col min="4" max="4" width="11.33203125" style="49" customWidth="1"/>
    <col min="5" max="5" width="11.33203125" style="33" customWidth="1"/>
    <col min="6" max="6" width="11.33203125" style="36" customWidth="1"/>
    <col min="7" max="9" width="11.33203125" style="33" customWidth="1"/>
    <col min="10" max="10" width="11.33203125" style="34" customWidth="1"/>
    <col min="11" max="16384" width="11.44140625" style="34"/>
  </cols>
  <sheetData>
    <row r="1" spans="1:20" ht="15" customHeight="1"/>
    <row r="2" spans="1:20" ht="24" customHeight="1">
      <c r="A2" s="2082" t="str">
        <f>'fiche technique'!A5</f>
        <v>Bilan de la campagne 2014 de recrutement et d'affectation des professeurs des universités (session synchronisée - ANTEE)</v>
      </c>
      <c r="B2" s="2082"/>
      <c r="C2" s="2082"/>
      <c r="D2" s="2082"/>
      <c r="E2" s="2082"/>
      <c r="F2" s="2082"/>
      <c r="G2" s="2082"/>
      <c r="H2" s="2082"/>
      <c r="I2" s="2082"/>
      <c r="J2" s="2082"/>
    </row>
    <row r="3" spans="1:20" ht="15" customHeight="1"/>
    <row r="4" spans="1:20" ht="20.25" customHeight="1">
      <c r="A4" s="2143" t="s">
        <v>299</v>
      </c>
      <c r="B4" s="2143"/>
      <c r="C4" s="2143"/>
      <c r="D4" s="2143"/>
      <c r="E4" s="2143"/>
      <c r="F4" s="2143"/>
      <c r="G4" s="2143"/>
      <c r="H4" s="2143"/>
      <c r="I4" s="2143"/>
      <c r="J4" s="2143"/>
    </row>
    <row r="5" spans="1:20" ht="20.25" customHeight="1">
      <c r="A5" s="2143" t="s">
        <v>256</v>
      </c>
      <c r="B5" s="2143"/>
      <c r="C5" s="2143"/>
      <c r="D5" s="2143"/>
      <c r="E5" s="2143"/>
      <c r="F5" s="2143"/>
      <c r="G5" s="2143"/>
      <c r="H5" s="2143"/>
      <c r="I5" s="2143"/>
      <c r="J5" s="2143"/>
    </row>
    <row r="6" spans="1:20" ht="20.25" customHeight="1">
      <c r="A6" s="2143" t="s">
        <v>257</v>
      </c>
      <c r="B6" s="2143"/>
      <c r="C6" s="2143"/>
      <c r="D6" s="2143"/>
      <c r="E6" s="2143"/>
      <c r="F6" s="2143"/>
      <c r="G6" s="2143"/>
      <c r="H6" s="2143"/>
      <c r="I6" s="2143"/>
      <c r="J6" s="2143"/>
    </row>
    <row r="7" spans="1:20" ht="15" customHeight="1"/>
    <row r="8" spans="1:20" s="32" customFormat="1" ht="15" customHeight="1" thickBot="1">
      <c r="A8" s="37"/>
      <c r="B8" s="39"/>
      <c r="C8" s="39"/>
      <c r="D8" s="46"/>
    </row>
    <row r="9" spans="1:20" ht="32.25" customHeight="1" thickBot="1">
      <c r="A9" s="218"/>
      <c r="B9" s="219"/>
      <c r="C9" s="2146" t="s">
        <v>156</v>
      </c>
      <c r="D9" s="2144"/>
      <c r="E9" s="2144"/>
      <c r="F9" s="2147"/>
      <c r="G9" s="2144" t="s">
        <v>1016</v>
      </c>
      <c r="H9" s="2144"/>
      <c r="I9" s="2144"/>
      <c r="J9" s="2145"/>
    </row>
    <row r="10" spans="1:20" ht="38.25" customHeight="1">
      <c r="A10" s="693" t="s">
        <v>255</v>
      </c>
      <c r="B10" s="694" t="s">
        <v>125</v>
      </c>
      <c r="C10" s="695" t="s">
        <v>126</v>
      </c>
      <c r="D10" s="695" t="s">
        <v>127</v>
      </c>
      <c r="E10" s="696" t="s">
        <v>128</v>
      </c>
      <c r="F10" s="697" t="s">
        <v>129</v>
      </c>
      <c r="G10" s="698" t="s">
        <v>126</v>
      </c>
      <c r="H10" s="699" t="s">
        <v>127</v>
      </c>
      <c r="I10" s="699" t="s">
        <v>130</v>
      </c>
      <c r="J10" s="700" t="s">
        <v>131</v>
      </c>
    </row>
    <row r="11" spans="1:20" ht="24" customHeight="1">
      <c r="A11" s="701" t="s">
        <v>9</v>
      </c>
      <c r="B11" s="702" t="s">
        <v>10</v>
      </c>
      <c r="C11" s="703"/>
      <c r="D11" s="703"/>
      <c r="E11" s="703"/>
      <c r="F11" s="703"/>
      <c r="G11" s="704"/>
      <c r="H11" s="703"/>
      <c r="I11" s="705"/>
      <c r="J11" s="706"/>
      <c r="M11" s="1760">
        <f>52/300</f>
        <v>0.17333333333333334</v>
      </c>
      <c r="Q11" s="1758">
        <f>201/30</f>
        <v>6.7</v>
      </c>
      <c r="R11" s="1758">
        <f>D12/C12</f>
        <v>6.8</v>
      </c>
      <c r="T11" s="1759">
        <f>F12/D12</f>
        <v>0.14705882352941177</v>
      </c>
    </row>
    <row r="12" spans="1:20" ht="24" customHeight="1">
      <c r="A12" s="707" t="s">
        <v>11</v>
      </c>
      <c r="B12" s="708" t="s">
        <v>12</v>
      </c>
      <c r="C12" s="709">
        <v>30</v>
      </c>
      <c r="D12" s="709">
        <v>204</v>
      </c>
      <c r="E12" s="709">
        <v>48</v>
      </c>
      <c r="F12" s="709">
        <v>30</v>
      </c>
      <c r="G12" s="710">
        <v>6</v>
      </c>
      <c r="H12" s="711">
        <v>30</v>
      </c>
      <c r="I12" s="712"/>
      <c r="J12" s="713">
        <v>6</v>
      </c>
      <c r="Q12" s="1758">
        <f>40/8</f>
        <v>5</v>
      </c>
      <c r="R12" s="1758">
        <f>D13/C13</f>
        <v>6.4285714285714288</v>
      </c>
      <c r="T12" s="1759">
        <f>F13/D13</f>
        <v>0.15555555555555556</v>
      </c>
    </row>
    <row r="13" spans="1:20" ht="24" customHeight="1">
      <c r="A13" s="707" t="s">
        <v>13</v>
      </c>
      <c r="B13" s="708" t="s">
        <v>14</v>
      </c>
      <c r="C13" s="709">
        <v>7</v>
      </c>
      <c r="D13" s="709">
        <v>45</v>
      </c>
      <c r="E13" s="709">
        <v>13</v>
      </c>
      <c r="F13" s="709">
        <v>7</v>
      </c>
      <c r="G13" s="710"/>
      <c r="H13" s="711"/>
      <c r="I13" s="712"/>
      <c r="J13" s="713"/>
      <c r="M13" s="1760">
        <f>60/314</f>
        <v>0.19108280254777071</v>
      </c>
      <c r="Q13" s="1758">
        <f>73/22</f>
        <v>3.3181818181818183</v>
      </c>
      <c r="R13" s="1758">
        <f>D15/C15</f>
        <v>3.4</v>
      </c>
      <c r="T13" s="1759">
        <f>F15/D15</f>
        <v>0.29411764705882354</v>
      </c>
    </row>
    <row r="14" spans="1:20" ht="24" customHeight="1">
      <c r="A14" s="707" t="s">
        <v>15</v>
      </c>
      <c r="B14" s="708" t="s">
        <v>16</v>
      </c>
      <c r="C14" s="709"/>
      <c r="D14" s="709"/>
      <c r="E14" s="709"/>
      <c r="F14" s="709"/>
      <c r="G14" s="710"/>
      <c r="H14" s="711"/>
      <c r="I14" s="712"/>
      <c r="J14" s="713"/>
      <c r="N14" s="1758">
        <f>314/60</f>
        <v>5.2333333333333334</v>
      </c>
    </row>
    <row r="15" spans="1:20" ht="24" customHeight="1">
      <c r="A15" s="707" t="s">
        <v>17</v>
      </c>
      <c r="B15" s="708" t="s">
        <v>18</v>
      </c>
      <c r="C15" s="709">
        <v>15</v>
      </c>
      <c r="D15" s="709">
        <v>51</v>
      </c>
      <c r="E15" s="709">
        <v>17</v>
      </c>
      <c r="F15" s="709">
        <v>15</v>
      </c>
      <c r="G15" s="710"/>
      <c r="H15" s="711"/>
      <c r="I15" s="712"/>
      <c r="J15" s="713"/>
      <c r="N15" s="1758">
        <f>300/52</f>
        <v>5.7692307692307692</v>
      </c>
    </row>
    <row r="16" spans="1:20" s="35" customFormat="1" ht="24" customHeight="1">
      <c r="A16" s="714" t="s">
        <v>19</v>
      </c>
      <c r="B16" s="715" t="s">
        <v>20</v>
      </c>
      <c r="C16" s="716"/>
      <c r="D16" s="716"/>
      <c r="E16" s="716"/>
      <c r="F16" s="716"/>
      <c r="G16" s="717">
        <v>11</v>
      </c>
      <c r="H16" s="716">
        <v>60</v>
      </c>
      <c r="I16" s="718">
        <v>47</v>
      </c>
      <c r="J16" s="719">
        <v>11</v>
      </c>
    </row>
    <row r="17" spans="1:16" ht="24" customHeight="1" thickBot="1">
      <c r="A17" s="2141" t="s">
        <v>258</v>
      </c>
      <c r="B17" s="2142"/>
      <c r="C17" s="982">
        <f t="shared" ref="C17:J17" si="0">SUM(C11:C16)</f>
        <v>52</v>
      </c>
      <c r="D17" s="982">
        <f t="shared" si="0"/>
        <v>300</v>
      </c>
      <c r="E17" s="982">
        <f t="shared" si="0"/>
        <v>78</v>
      </c>
      <c r="F17" s="1539">
        <f t="shared" si="0"/>
        <v>52</v>
      </c>
      <c r="G17" s="983">
        <f t="shared" si="0"/>
        <v>17</v>
      </c>
      <c r="H17" s="982">
        <f t="shared" si="0"/>
        <v>90</v>
      </c>
      <c r="I17" s="984">
        <f t="shared" si="0"/>
        <v>47</v>
      </c>
      <c r="J17" s="985">
        <f t="shared" si="0"/>
        <v>17</v>
      </c>
    </row>
    <row r="18" spans="1:16" ht="25.5" customHeight="1">
      <c r="A18" s="514" t="str">
        <f>'fiche technique'!A9</f>
        <v>Source: GALAXIE (ANTARES-ANTEE &amp; FIDIS), DGRH A1-1 &amp; DGRH A2, juin 2014</v>
      </c>
      <c r="B18" s="1898"/>
      <c r="C18" s="99"/>
      <c r="D18" s="99"/>
      <c r="E18" s="99"/>
      <c r="F18" s="100"/>
      <c r="G18" s="99"/>
      <c r="H18" s="99"/>
      <c r="I18" s="99"/>
      <c r="J18" s="99"/>
      <c r="P18" s="1761">
        <f>97/314</f>
        <v>0.30891719745222929</v>
      </c>
    </row>
    <row r="19" spans="1:16" ht="13.8">
      <c r="A19" s="453"/>
      <c r="B19" s="200"/>
      <c r="C19" s="200"/>
      <c r="D19" s="454">
        <v>0</v>
      </c>
    </row>
    <row r="20" spans="1:16" ht="13.8">
      <c r="A20" s="455"/>
      <c r="B20" s="200"/>
      <c r="C20" s="200"/>
      <c r="D20" s="454"/>
      <c r="N20" s="1760">
        <f>78/300</f>
        <v>0.26</v>
      </c>
    </row>
    <row r="21" spans="1:16" ht="13.8">
      <c r="A21" s="456"/>
      <c r="B21" s="200"/>
      <c r="C21" s="200"/>
      <c r="D21" s="454"/>
      <c r="H21" s="1762"/>
    </row>
    <row r="22" spans="1:16" ht="13.8">
      <c r="A22" s="37"/>
      <c r="B22" s="39"/>
      <c r="C22" s="39"/>
      <c r="D22" s="46"/>
    </row>
    <row r="23" spans="1:16" ht="13.8">
      <c r="A23" s="37"/>
      <c r="B23" s="39"/>
      <c r="C23" s="39"/>
      <c r="D23" s="46"/>
      <c r="H23" s="1762"/>
    </row>
    <row r="24" spans="1:16" ht="13.8">
      <c r="A24" s="37"/>
      <c r="B24" s="39"/>
      <c r="C24" s="39"/>
      <c r="D24" s="46"/>
    </row>
    <row r="25" spans="1:16" ht="13.8">
      <c r="A25" s="37"/>
      <c r="B25" s="39"/>
      <c r="C25" s="39"/>
      <c r="D25" s="46"/>
    </row>
    <row r="26" spans="1:16" ht="13.8">
      <c r="A26" s="37"/>
      <c r="B26" s="39"/>
      <c r="C26" s="39"/>
      <c r="D26" s="46"/>
    </row>
    <row r="27" spans="1:16" ht="13.8">
      <c r="A27" s="37"/>
      <c r="B27" s="39"/>
      <c r="C27" s="39"/>
      <c r="D27" s="46"/>
    </row>
    <row r="28" spans="1:16" ht="13.8">
      <c r="A28" s="37"/>
      <c r="B28" s="39"/>
      <c r="C28" s="39"/>
      <c r="D28" s="46"/>
    </row>
    <row r="29" spans="1:16" ht="25.5" customHeight="1">
      <c r="A29" s="1923"/>
      <c r="B29" s="39"/>
      <c r="C29" s="39"/>
      <c r="D29" s="46"/>
      <c r="E29" s="1923"/>
      <c r="F29" s="1923"/>
    </row>
    <row r="30" spans="1:16" ht="13.8">
      <c r="A30" s="37"/>
      <c r="B30" s="39"/>
      <c r="C30" s="39"/>
      <c r="D30" s="46"/>
    </row>
    <row r="31" spans="1:16" ht="13.8">
      <c r="A31" s="37"/>
      <c r="B31" s="39"/>
      <c r="C31" s="39"/>
      <c r="D31" s="46"/>
    </row>
    <row r="32" spans="1:16" ht="13.8">
      <c r="A32" s="37"/>
      <c r="B32" s="39"/>
      <c r="C32" s="39"/>
      <c r="D32" s="46"/>
    </row>
    <row r="33" spans="1:4" ht="13.8">
      <c r="A33" s="37"/>
      <c r="B33" s="39"/>
      <c r="C33" s="39"/>
      <c r="D33" s="46"/>
    </row>
    <row r="34" spans="1:4" ht="13.8">
      <c r="A34" s="37"/>
      <c r="B34" s="39"/>
      <c r="C34" s="39"/>
      <c r="D34" s="46"/>
    </row>
    <row r="35" spans="1:4" ht="13.8">
      <c r="A35" s="37"/>
      <c r="B35" s="39"/>
      <c r="C35" s="39"/>
      <c r="D35" s="46"/>
    </row>
    <row r="36" spans="1:4" ht="13.8">
      <c r="A36" s="37"/>
      <c r="B36" s="39"/>
      <c r="C36" s="39"/>
      <c r="D36" s="46"/>
    </row>
    <row r="37" spans="1:4" ht="13.8">
      <c r="A37" s="37"/>
      <c r="B37" s="39"/>
      <c r="C37" s="39"/>
      <c r="D37" s="46"/>
    </row>
    <row r="38" spans="1:4" ht="13.8">
      <c r="A38" s="37"/>
      <c r="B38" s="39"/>
      <c r="C38" s="39"/>
      <c r="D38" s="46"/>
    </row>
    <row r="39" spans="1:4" ht="13.8">
      <c r="A39" s="37"/>
      <c r="B39" s="39"/>
      <c r="C39" s="39"/>
      <c r="D39" s="46"/>
    </row>
    <row r="40" spans="1:4" ht="13.8">
      <c r="A40" s="37"/>
      <c r="B40" s="39"/>
      <c r="C40" s="39"/>
      <c r="D40" s="46"/>
    </row>
    <row r="41" spans="1:4" ht="13.8">
      <c r="A41" s="37"/>
      <c r="B41" s="39"/>
      <c r="C41" s="39"/>
      <c r="D41" s="46"/>
    </row>
    <row r="42" spans="1:4" ht="13.8">
      <c r="A42" s="37"/>
      <c r="B42" s="39"/>
      <c r="C42" s="39"/>
      <c r="D42" s="46"/>
    </row>
    <row r="43" spans="1:4" ht="13.8">
      <c r="A43" s="37"/>
      <c r="B43" s="39"/>
      <c r="C43" s="39"/>
      <c r="D43" s="46"/>
    </row>
    <row r="44" spans="1:4" ht="13.8">
      <c r="A44" s="37"/>
      <c r="B44" s="39"/>
      <c r="C44" s="39"/>
      <c r="D44" s="46"/>
    </row>
    <row r="45" spans="1:4" ht="13.8">
      <c r="A45" s="37"/>
      <c r="B45" s="39"/>
      <c r="C45" s="39"/>
      <c r="D45" s="46"/>
    </row>
    <row r="46" spans="1:4" ht="13.8">
      <c r="A46" s="37"/>
      <c r="B46" s="39"/>
      <c r="C46" s="39"/>
      <c r="D46" s="46"/>
    </row>
    <row r="47" spans="1:4" ht="13.8">
      <c r="A47" s="37"/>
      <c r="B47" s="39"/>
      <c r="C47" s="39"/>
      <c r="D47" s="46"/>
    </row>
    <row r="48" spans="1:4" ht="13.8">
      <c r="A48" s="37"/>
      <c r="B48" s="39"/>
      <c r="C48" s="39"/>
      <c r="D48" s="46"/>
    </row>
    <row r="49" spans="1:4" ht="13.8">
      <c r="A49" s="37"/>
      <c r="B49" s="39"/>
      <c r="C49" s="39"/>
      <c r="D49" s="46"/>
    </row>
    <row r="50" spans="1:4" ht="13.8">
      <c r="A50" s="37"/>
      <c r="B50" s="39"/>
      <c r="C50" s="39"/>
      <c r="D50" s="46"/>
    </row>
    <row r="51" spans="1:4" ht="13.8">
      <c r="A51" s="37"/>
      <c r="B51" s="39"/>
      <c r="C51" s="39"/>
      <c r="D51" s="46"/>
    </row>
    <row r="52" spans="1:4" ht="13.8">
      <c r="A52" s="37"/>
      <c r="B52" s="39"/>
      <c r="C52" s="39"/>
      <c r="D52" s="46"/>
    </row>
    <row r="53" spans="1:4" ht="13.8">
      <c r="A53" s="37"/>
      <c r="B53" s="39"/>
      <c r="C53" s="39"/>
      <c r="D53" s="46"/>
    </row>
    <row r="54" spans="1:4" ht="13.8">
      <c r="A54" s="37"/>
      <c r="B54" s="38"/>
      <c r="C54" s="38"/>
      <c r="D54" s="46"/>
    </row>
    <row r="55" spans="1:4" ht="13.8">
      <c r="A55" s="40"/>
      <c r="B55" s="41"/>
      <c r="C55" s="42"/>
      <c r="D55" s="46"/>
    </row>
    <row r="56" spans="1:4" ht="13.8">
      <c r="A56" s="38"/>
      <c r="B56" s="43"/>
      <c r="C56" s="43"/>
      <c r="D56" s="47"/>
    </row>
    <row r="57" spans="1:4">
      <c r="A57" s="44"/>
      <c r="B57" s="45"/>
      <c r="C57" s="45"/>
      <c r="D57" s="48"/>
    </row>
    <row r="58" spans="1:4">
      <c r="A58" s="44"/>
      <c r="B58" s="45"/>
      <c r="C58" s="45"/>
      <c r="D58" s="48"/>
    </row>
    <row r="59" spans="1:4">
      <c r="A59" s="44"/>
      <c r="B59" s="45"/>
      <c r="C59" s="45"/>
      <c r="D59" s="48"/>
    </row>
    <row r="60" spans="1:4">
      <c r="A60" s="44"/>
      <c r="B60" s="45"/>
      <c r="C60" s="45"/>
      <c r="D60" s="48"/>
    </row>
    <row r="61" spans="1:4">
      <c r="A61" s="44"/>
      <c r="B61" s="45"/>
      <c r="C61" s="45"/>
      <c r="D61" s="48"/>
    </row>
  </sheetData>
  <mergeCells count="7">
    <mergeCell ref="A17:B17"/>
    <mergeCell ref="A2:J2"/>
    <mergeCell ref="A4:J4"/>
    <mergeCell ref="A5:J5"/>
    <mergeCell ref="A6:J6"/>
    <mergeCell ref="G9:J9"/>
    <mergeCell ref="C9:F9"/>
  </mergeCells>
  <phoneticPr fontId="0" type="noConversion"/>
  <printOptions horizontalCentered="1"/>
  <pageMargins left="0.39370078740157483" right="0.39370078740157483" top="0.78740157480314965" bottom="0.19685039370078741" header="0.31496062992125984" footer="0.31496062992125984"/>
  <pageSetup paperSize="9" orientation="landscape" r:id="rId1"/>
  <headerFooter alignWithMargins="0">
    <oddHeader>&amp;LDGRH A1-1</oddHeader>
    <oddFooter>&amp;CPage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Feuil49">
    <tabColor rgb="FFFFFF00"/>
  </sheetPr>
  <dimension ref="A1:I506"/>
  <sheetViews>
    <sheetView showZeros="0" workbookViewId="0">
      <selection activeCell="L18" sqref="L18"/>
    </sheetView>
  </sheetViews>
  <sheetFormatPr baseColWidth="10" defaultColWidth="11.44140625" defaultRowHeight="13.2"/>
  <cols>
    <col min="1" max="1" width="11.44140625" style="525"/>
    <col min="2" max="2" width="67.6640625" style="525" customWidth="1"/>
    <col min="3" max="16384" width="11.44140625" style="525"/>
  </cols>
  <sheetData>
    <row r="1" spans="1:9" ht="15" customHeight="1"/>
    <row r="2" spans="1:9" ht="24" customHeight="1">
      <c r="A2" s="2073" t="str">
        <f>'fiche technique'!A5</f>
        <v>Bilan de la campagne 2014 de recrutement et d'affectation des professeurs des universités (session synchronisée - ANTEE)</v>
      </c>
      <c r="B2" s="2073"/>
      <c r="C2" s="2073"/>
      <c r="D2" s="2073"/>
      <c r="E2" s="2073"/>
    </row>
    <row r="3" spans="1:9" ht="15" customHeight="1"/>
    <row r="4" spans="1:9" ht="20.25" customHeight="1">
      <c r="A4" s="2104" t="s">
        <v>300</v>
      </c>
      <c r="B4" s="2104"/>
      <c r="C4" s="2104"/>
      <c r="D4" s="2104"/>
      <c r="E4" s="2104"/>
    </row>
    <row r="5" spans="1:9" ht="20.25" customHeight="1">
      <c r="A5" s="2104" t="s">
        <v>1006</v>
      </c>
      <c r="B5" s="2104"/>
      <c r="C5" s="2104"/>
      <c r="D5" s="2104"/>
      <c r="E5" s="2104"/>
    </row>
    <row r="6" spans="1:9" ht="15" customHeight="1" thickBot="1"/>
    <row r="7" spans="1:9" ht="15" customHeight="1" thickBot="1">
      <c r="A7" s="721"/>
      <c r="B7" s="523"/>
      <c r="C7" s="722" t="s">
        <v>124</v>
      </c>
      <c r="D7" s="723"/>
      <c r="E7" s="724"/>
    </row>
    <row r="8" spans="1:9" ht="24">
      <c r="A8" s="1896" t="s">
        <v>8</v>
      </c>
      <c r="B8" s="1897" t="s">
        <v>125</v>
      </c>
      <c r="C8" s="725" t="s">
        <v>119</v>
      </c>
      <c r="D8" s="725" t="s">
        <v>120</v>
      </c>
      <c r="E8" s="726" t="s">
        <v>121</v>
      </c>
    </row>
    <row r="9" spans="1:9">
      <c r="A9" s="727" t="s">
        <v>9</v>
      </c>
      <c r="B9" s="728" t="s">
        <v>10</v>
      </c>
      <c r="C9" s="196">
        <v>1</v>
      </c>
      <c r="D9" s="196">
        <v>0</v>
      </c>
      <c r="E9" s="729">
        <f>D9/C9</f>
        <v>0</v>
      </c>
    </row>
    <row r="10" spans="1:9">
      <c r="A10" s="730" t="s">
        <v>11</v>
      </c>
      <c r="B10" s="731" t="s">
        <v>12</v>
      </c>
      <c r="C10" s="194">
        <v>1</v>
      </c>
      <c r="D10" s="194">
        <v>0</v>
      </c>
      <c r="E10" s="732" t="s">
        <v>530</v>
      </c>
    </row>
    <row r="11" spans="1:9">
      <c r="A11" s="730" t="s">
        <v>13</v>
      </c>
      <c r="B11" s="731" t="s">
        <v>14</v>
      </c>
      <c r="C11" s="194">
        <v>0</v>
      </c>
      <c r="D11" s="194">
        <v>0</v>
      </c>
      <c r="E11" s="732"/>
    </row>
    <row r="12" spans="1:9">
      <c r="A12" s="730" t="s">
        <v>15</v>
      </c>
      <c r="B12" s="731" t="s">
        <v>16</v>
      </c>
      <c r="C12" s="194">
        <v>3</v>
      </c>
      <c r="D12" s="194">
        <v>1</v>
      </c>
      <c r="E12" s="732"/>
    </row>
    <row r="13" spans="1:9">
      <c r="A13" s="730" t="s">
        <v>17</v>
      </c>
      <c r="B13" s="731" t="s">
        <v>18</v>
      </c>
      <c r="C13" s="194">
        <v>8</v>
      </c>
      <c r="D13" s="194">
        <v>3</v>
      </c>
      <c r="E13" s="732">
        <f t="shared" ref="E13:E65" si="0">D13/C13</f>
        <v>0.375</v>
      </c>
    </row>
    <row r="14" spans="1:9">
      <c r="A14" s="730" t="s">
        <v>19</v>
      </c>
      <c r="B14" s="731" t="s">
        <v>20</v>
      </c>
      <c r="C14" s="195">
        <v>9</v>
      </c>
      <c r="D14" s="195">
        <v>5</v>
      </c>
      <c r="E14" s="732">
        <f t="shared" si="0"/>
        <v>0.55555555555555558</v>
      </c>
    </row>
    <row r="15" spans="1:9">
      <c r="A15" s="730" t="s">
        <v>21</v>
      </c>
      <c r="B15" s="731" t="s">
        <v>22</v>
      </c>
      <c r="C15" s="194">
        <v>78</v>
      </c>
      <c r="D15" s="194">
        <v>62</v>
      </c>
      <c r="E15" s="732">
        <f t="shared" si="0"/>
        <v>0.79487179487179482</v>
      </c>
      <c r="G15" s="250"/>
      <c r="H15" s="250"/>
      <c r="I15" s="733"/>
    </row>
    <row r="16" spans="1:9">
      <c r="A16" s="730" t="s">
        <v>23</v>
      </c>
      <c r="B16" s="731" t="s">
        <v>24</v>
      </c>
      <c r="C16" s="194">
        <v>22</v>
      </c>
      <c r="D16" s="194">
        <v>18</v>
      </c>
      <c r="E16" s="732">
        <f t="shared" si="0"/>
        <v>0.81818181818181823</v>
      </c>
      <c r="G16" s="250"/>
      <c r="H16" s="250"/>
      <c r="I16" s="733"/>
    </row>
    <row r="17" spans="1:9">
      <c r="A17" s="730" t="s">
        <v>25</v>
      </c>
      <c r="B17" s="731" t="s">
        <v>26</v>
      </c>
      <c r="C17" s="194">
        <v>40</v>
      </c>
      <c r="D17" s="194">
        <v>34</v>
      </c>
      <c r="E17" s="732">
        <f t="shared" si="0"/>
        <v>0.85</v>
      </c>
      <c r="G17" s="250"/>
      <c r="H17" s="250"/>
      <c r="I17" s="733"/>
    </row>
    <row r="18" spans="1:9">
      <c r="A18" s="730" t="s">
        <v>27</v>
      </c>
      <c r="B18" s="731" t="s">
        <v>28</v>
      </c>
      <c r="C18" s="194">
        <v>17</v>
      </c>
      <c r="D18" s="194">
        <v>15</v>
      </c>
      <c r="E18" s="732">
        <f t="shared" si="0"/>
        <v>0.88235294117647056</v>
      </c>
      <c r="G18" s="250"/>
      <c r="H18" s="250"/>
      <c r="I18" s="733"/>
    </row>
    <row r="19" spans="1:9">
      <c r="A19" s="730" t="s">
        <v>29</v>
      </c>
      <c r="B19" s="731" t="s">
        <v>30</v>
      </c>
      <c r="C19" s="194">
        <v>37</v>
      </c>
      <c r="D19" s="194">
        <v>29</v>
      </c>
      <c r="E19" s="732">
        <f t="shared" si="0"/>
        <v>0.78378378378378377</v>
      </c>
      <c r="G19" s="250"/>
      <c r="H19" s="250"/>
      <c r="I19" s="733"/>
    </row>
    <row r="20" spans="1:9">
      <c r="A20" s="730" t="s">
        <v>31</v>
      </c>
      <c r="B20" s="731" t="s">
        <v>32</v>
      </c>
      <c r="C20" s="194">
        <v>16</v>
      </c>
      <c r="D20" s="194">
        <v>9</v>
      </c>
      <c r="E20" s="732">
        <f t="shared" si="0"/>
        <v>0.5625</v>
      </c>
      <c r="G20" s="250"/>
      <c r="H20" s="250"/>
      <c r="I20" s="733"/>
    </row>
    <row r="21" spans="1:9">
      <c r="A21" s="730" t="s">
        <v>33</v>
      </c>
      <c r="B21" s="731" t="s">
        <v>34</v>
      </c>
      <c r="C21" s="194">
        <v>5</v>
      </c>
      <c r="D21" s="194">
        <v>2</v>
      </c>
      <c r="E21" s="732">
        <f t="shared" si="0"/>
        <v>0.4</v>
      </c>
      <c r="G21" s="250"/>
      <c r="H21" s="250"/>
      <c r="I21" s="733"/>
    </row>
    <row r="22" spans="1:9" ht="13.5" customHeight="1">
      <c r="A22" s="730" t="s">
        <v>35</v>
      </c>
      <c r="B22" s="731" t="s">
        <v>36</v>
      </c>
      <c r="C22" s="194">
        <v>25</v>
      </c>
      <c r="D22" s="194">
        <v>20</v>
      </c>
      <c r="E22" s="732">
        <f t="shared" si="0"/>
        <v>0.8</v>
      </c>
      <c r="G22" s="250"/>
      <c r="H22" s="250"/>
      <c r="I22" s="733"/>
    </row>
    <row r="23" spans="1:9" ht="26.4">
      <c r="A23" s="730" t="s">
        <v>37</v>
      </c>
      <c r="B23" s="731" t="s">
        <v>122</v>
      </c>
      <c r="C23" s="194">
        <v>18</v>
      </c>
      <c r="D23" s="194">
        <v>17</v>
      </c>
      <c r="E23" s="732">
        <f t="shared" si="0"/>
        <v>0.94444444444444442</v>
      </c>
      <c r="G23" s="250"/>
      <c r="H23" s="250"/>
      <c r="I23" s="733"/>
    </row>
    <row r="24" spans="1:9" ht="13.5" customHeight="1">
      <c r="A24" s="730" t="s">
        <v>38</v>
      </c>
      <c r="B24" s="731" t="s">
        <v>39</v>
      </c>
      <c r="C24" s="194">
        <v>70</v>
      </c>
      <c r="D24" s="194">
        <v>48</v>
      </c>
      <c r="E24" s="732">
        <f t="shared" si="0"/>
        <v>0.68571428571428572</v>
      </c>
      <c r="G24" s="250"/>
      <c r="H24" s="250"/>
      <c r="I24" s="733"/>
    </row>
    <row r="25" spans="1:9">
      <c r="A25" s="730" t="s">
        <v>40</v>
      </c>
      <c r="B25" s="731" t="s">
        <v>41</v>
      </c>
      <c r="C25" s="194">
        <v>40</v>
      </c>
      <c r="D25" s="194">
        <v>32</v>
      </c>
      <c r="E25" s="732">
        <f t="shared" si="0"/>
        <v>0.8</v>
      </c>
      <c r="G25" s="250"/>
      <c r="H25" s="250"/>
      <c r="I25" s="733"/>
    </row>
    <row r="26" spans="1:9" s="679" customFormat="1" ht="39.6">
      <c r="A26" s="730" t="s">
        <v>42</v>
      </c>
      <c r="B26" s="731" t="s">
        <v>230</v>
      </c>
      <c r="C26" s="194">
        <v>51</v>
      </c>
      <c r="D26" s="194">
        <v>25</v>
      </c>
      <c r="E26" s="732">
        <f t="shared" si="0"/>
        <v>0.49019607843137253</v>
      </c>
      <c r="G26" s="250"/>
      <c r="H26" s="250"/>
      <c r="I26" s="733"/>
    </row>
    <row r="27" spans="1:9">
      <c r="A27" s="730" t="s">
        <v>43</v>
      </c>
      <c r="B27" s="731" t="s">
        <v>44</v>
      </c>
      <c r="C27" s="194">
        <v>44</v>
      </c>
      <c r="D27" s="194">
        <v>26</v>
      </c>
      <c r="E27" s="732">
        <f t="shared" si="0"/>
        <v>0.59090909090909094</v>
      </c>
      <c r="G27" s="250"/>
      <c r="H27" s="250"/>
      <c r="I27" s="733"/>
    </row>
    <row r="28" spans="1:9">
      <c r="A28" s="730" t="s">
        <v>45</v>
      </c>
      <c r="B28" s="731" t="s">
        <v>320</v>
      </c>
      <c r="C28" s="194">
        <v>17</v>
      </c>
      <c r="D28" s="194">
        <v>14</v>
      </c>
      <c r="E28" s="732">
        <f t="shared" si="0"/>
        <v>0.82352941176470584</v>
      </c>
      <c r="G28" s="250"/>
      <c r="H28" s="250"/>
      <c r="I28" s="733"/>
    </row>
    <row r="29" spans="1:9" ht="26.4">
      <c r="A29" s="730">
        <v>21</v>
      </c>
      <c r="B29" s="731" t="s">
        <v>231</v>
      </c>
      <c r="C29" s="194">
        <v>35</v>
      </c>
      <c r="D29" s="194">
        <v>28</v>
      </c>
      <c r="E29" s="732">
        <f>D29/C29</f>
        <v>0.8</v>
      </c>
      <c r="F29" s="1965"/>
      <c r="G29" s="250"/>
      <c r="H29" s="250"/>
      <c r="I29" s="733"/>
    </row>
    <row r="30" spans="1:9" ht="26.4">
      <c r="A30" s="730" t="s">
        <v>47</v>
      </c>
      <c r="B30" s="731" t="s">
        <v>232</v>
      </c>
      <c r="C30" s="194">
        <v>53</v>
      </c>
      <c r="D30" s="194">
        <v>45</v>
      </c>
      <c r="E30" s="732">
        <f t="shared" si="0"/>
        <v>0.84905660377358494</v>
      </c>
      <c r="G30" s="250"/>
      <c r="H30" s="250"/>
      <c r="I30" s="733"/>
    </row>
    <row r="31" spans="1:9">
      <c r="A31" s="730" t="s">
        <v>48</v>
      </c>
      <c r="B31" s="731" t="s">
        <v>49</v>
      </c>
      <c r="C31" s="194">
        <v>48</v>
      </c>
      <c r="D31" s="194">
        <v>31</v>
      </c>
      <c r="E31" s="732">
        <f t="shared" si="0"/>
        <v>0.64583333333333337</v>
      </c>
      <c r="G31" s="250"/>
      <c r="H31" s="250"/>
      <c r="I31" s="733"/>
    </row>
    <row r="32" spans="1:9">
      <c r="A32" s="730" t="s">
        <v>50</v>
      </c>
      <c r="B32" s="731" t="s">
        <v>51</v>
      </c>
      <c r="C32" s="194">
        <v>28</v>
      </c>
      <c r="D32" s="194">
        <v>11</v>
      </c>
      <c r="E32" s="732">
        <f t="shared" si="0"/>
        <v>0.39285714285714285</v>
      </c>
      <c r="G32" s="250"/>
      <c r="H32" s="250"/>
      <c r="I32" s="733"/>
    </row>
    <row r="33" spans="1:9">
      <c r="A33" s="730" t="s">
        <v>52</v>
      </c>
      <c r="B33" s="731" t="s">
        <v>53</v>
      </c>
      <c r="C33" s="193">
        <v>109</v>
      </c>
      <c r="D33" s="193">
        <v>100</v>
      </c>
      <c r="E33" s="732">
        <f t="shared" si="0"/>
        <v>0.91743119266055051</v>
      </c>
      <c r="G33" s="250"/>
      <c r="H33" s="250"/>
      <c r="I33" s="733"/>
    </row>
    <row r="34" spans="1:9">
      <c r="A34" s="730" t="s">
        <v>54</v>
      </c>
      <c r="B34" s="731" t="s">
        <v>55</v>
      </c>
      <c r="C34" s="194">
        <v>131</v>
      </c>
      <c r="D34" s="194">
        <v>110</v>
      </c>
      <c r="E34" s="732">
        <f t="shared" si="0"/>
        <v>0.83969465648854957</v>
      </c>
      <c r="G34" s="250"/>
      <c r="H34" s="250"/>
      <c r="I34" s="733"/>
    </row>
    <row r="35" spans="1:9">
      <c r="A35" s="730" t="s">
        <v>56</v>
      </c>
      <c r="B35" s="731" t="s">
        <v>57</v>
      </c>
      <c r="C35" s="194">
        <v>170</v>
      </c>
      <c r="D35" s="194">
        <v>103</v>
      </c>
      <c r="E35" s="732">
        <f t="shared" si="0"/>
        <v>0.60588235294117643</v>
      </c>
      <c r="G35" s="250"/>
      <c r="H35" s="250"/>
      <c r="I35" s="733"/>
    </row>
    <row r="36" spans="1:9">
      <c r="A36" s="730" t="s">
        <v>58</v>
      </c>
      <c r="B36" s="731" t="s">
        <v>59</v>
      </c>
      <c r="C36" s="194">
        <v>115</v>
      </c>
      <c r="D36" s="194">
        <v>95</v>
      </c>
      <c r="E36" s="732">
        <f t="shared" si="0"/>
        <v>0.82608695652173914</v>
      </c>
      <c r="G36" s="250"/>
      <c r="H36" s="250"/>
      <c r="I36" s="733"/>
    </row>
    <row r="37" spans="1:9">
      <c r="A37" s="730" t="s">
        <v>60</v>
      </c>
      <c r="B37" s="731" t="s">
        <v>61</v>
      </c>
      <c r="C37" s="194">
        <v>39</v>
      </c>
      <c r="D37" s="194">
        <v>33</v>
      </c>
      <c r="E37" s="732">
        <f t="shared" si="0"/>
        <v>0.84615384615384615</v>
      </c>
      <c r="G37" s="250"/>
      <c r="H37" s="250"/>
      <c r="I37" s="733"/>
    </row>
    <row r="38" spans="1:9">
      <c r="A38" s="730" t="s">
        <v>62</v>
      </c>
      <c r="B38" s="731" t="s">
        <v>63</v>
      </c>
      <c r="C38" s="194">
        <v>51</v>
      </c>
      <c r="D38" s="194">
        <v>42</v>
      </c>
      <c r="E38" s="732">
        <f t="shared" si="0"/>
        <v>0.82352941176470584</v>
      </c>
      <c r="G38" s="250"/>
      <c r="H38" s="250"/>
      <c r="I38" s="733"/>
    </row>
    <row r="39" spans="1:9">
      <c r="A39" s="730" t="s">
        <v>64</v>
      </c>
      <c r="B39" s="731" t="s">
        <v>65</v>
      </c>
      <c r="C39" s="194">
        <v>95</v>
      </c>
      <c r="D39" s="194">
        <v>78</v>
      </c>
      <c r="E39" s="732">
        <f t="shared" si="0"/>
        <v>0.82105263157894737</v>
      </c>
      <c r="G39" s="250"/>
      <c r="H39" s="250"/>
      <c r="I39" s="733"/>
    </row>
    <row r="40" spans="1:9">
      <c r="A40" s="730" t="s">
        <v>66</v>
      </c>
      <c r="B40" s="731" t="s">
        <v>67</v>
      </c>
      <c r="C40" s="194">
        <v>78</v>
      </c>
      <c r="D40" s="194">
        <v>58</v>
      </c>
      <c r="E40" s="732">
        <f t="shared" si="0"/>
        <v>0.74358974358974361</v>
      </c>
      <c r="G40" s="250"/>
      <c r="H40" s="250"/>
      <c r="I40" s="733"/>
    </row>
    <row r="41" spans="1:9">
      <c r="A41" s="730" t="s">
        <v>68</v>
      </c>
      <c r="B41" s="731" t="s">
        <v>69</v>
      </c>
      <c r="C41" s="194">
        <v>61</v>
      </c>
      <c r="D41" s="194">
        <v>41</v>
      </c>
      <c r="E41" s="732">
        <f t="shared" si="0"/>
        <v>0.67213114754098358</v>
      </c>
      <c r="G41" s="250"/>
      <c r="H41" s="250"/>
      <c r="I41" s="733"/>
    </row>
    <row r="42" spans="1:9">
      <c r="A42" s="730" t="s">
        <v>70</v>
      </c>
      <c r="B42" s="731" t="s">
        <v>71</v>
      </c>
      <c r="C42" s="194">
        <v>17</v>
      </c>
      <c r="D42" s="194">
        <v>16</v>
      </c>
      <c r="E42" s="732">
        <f t="shared" si="0"/>
        <v>0.94117647058823528</v>
      </c>
      <c r="G42" s="250"/>
      <c r="H42" s="250"/>
      <c r="I42" s="733"/>
    </row>
    <row r="43" spans="1:9">
      <c r="A43" s="730" t="s">
        <v>72</v>
      </c>
      <c r="B43" s="731" t="s">
        <v>73</v>
      </c>
      <c r="C43" s="194">
        <v>41</v>
      </c>
      <c r="D43" s="194">
        <v>40</v>
      </c>
      <c r="E43" s="732">
        <f t="shared" si="0"/>
        <v>0.97560975609756095</v>
      </c>
      <c r="G43" s="250"/>
      <c r="H43" s="250"/>
      <c r="I43" s="733"/>
    </row>
    <row r="44" spans="1:9">
      <c r="A44" s="730" t="s">
        <v>74</v>
      </c>
      <c r="B44" s="731" t="s">
        <v>75</v>
      </c>
      <c r="C44" s="194">
        <v>47</v>
      </c>
      <c r="D44" s="194">
        <v>42</v>
      </c>
      <c r="E44" s="732">
        <f t="shared" si="0"/>
        <v>0.8936170212765957</v>
      </c>
      <c r="G44" s="250"/>
      <c r="H44" s="250"/>
      <c r="I44" s="733"/>
    </row>
    <row r="45" spans="1:9">
      <c r="A45" s="730" t="s">
        <v>76</v>
      </c>
      <c r="B45" s="731" t="s">
        <v>77</v>
      </c>
      <c r="C45" s="194">
        <v>20</v>
      </c>
      <c r="D45" s="194">
        <v>18</v>
      </c>
      <c r="E45" s="732">
        <f t="shared" si="0"/>
        <v>0.9</v>
      </c>
      <c r="G45" s="250"/>
      <c r="H45" s="250"/>
      <c r="I45" s="733"/>
    </row>
    <row r="46" spans="1:9">
      <c r="A46" s="730" t="s">
        <v>78</v>
      </c>
      <c r="B46" s="731" t="s">
        <v>79</v>
      </c>
      <c r="C46" s="193">
        <v>153</v>
      </c>
      <c r="D46" s="193">
        <v>108</v>
      </c>
      <c r="E46" s="732">
        <f t="shared" si="0"/>
        <v>0.70588235294117652</v>
      </c>
      <c r="G46" s="250"/>
      <c r="H46" s="250"/>
      <c r="I46" s="733"/>
    </row>
    <row r="47" spans="1:9">
      <c r="A47" s="730" t="s">
        <v>80</v>
      </c>
      <c r="B47" s="731" t="s">
        <v>81</v>
      </c>
      <c r="C47" s="194">
        <v>93</v>
      </c>
      <c r="D47" s="194">
        <v>61</v>
      </c>
      <c r="E47" s="732">
        <f t="shared" si="0"/>
        <v>0.65591397849462363</v>
      </c>
      <c r="G47" s="250"/>
      <c r="H47" s="250"/>
      <c r="I47" s="733"/>
    </row>
    <row r="48" spans="1:9">
      <c r="A48" s="730" t="s">
        <v>82</v>
      </c>
      <c r="B48" s="731" t="s">
        <v>83</v>
      </c>
      <c r="C48" s="195">
        <v>75</v>
      </c>
      <c r="D48" s="195">
        <v>48</v>
      </c>
      <c r="E48" s="732">
        <f t="shared" si="0"/>
        <v>0.64</v>
      </c>
      <c r="G48" s="250"/>
      <c r="H48" s="250"/>
      <c r="I48" s="733"/>
    </row>
    <row r="49" spans="1:9">
      <c r="A49" s="730" t="s">
        <v>84</v>
      </c>
      <c r="B49" s="675" t="s">
        <v>355</v>
      </c>
      <c r="C49" s="194">
        <v>87</v>
      </c>
      <c r="D49" s="194">
        <v>56</v>
      </c>
      <c r="E49" s="732">
        <f t="shared" si="0"/>
        <v>0.64367816091954022</v>
      </c>
      <c r="G49" s="250"/>
      <c r="H49" s="250"/>
      <c r="I49" s="733"/>
    </row>
    <row r="50" spans="1:9">
      <c r="A50" s="730" t="s">
        <v>85</v>
      </c>
      <c r="B50" s="220" t="s">
        <v>86</v>
      </c>
      <c r="C50" s="194">
        <v>94</v>
      </c>
      <c r="D50" s="194">
        <v>70</v>
      </c>
      <c r="E50" s="732">
        <f t="shared" si="0"/>
        <v>0.74468085106382975</v>
      </c>
      <c r="G50" s="250"/>
      <c r="H50" s="250"/>
      <c r="I50" s="733"/>
    </row>
    <row r="51" spans="1:9">
      <c r="A51" s="730" t="s">
        <v>87</v>
      </c>
      <c r="B51" s="220" t="s">
        <v>88</v>
      </c>
      <c r="C51" s="194">
        <v>115</v>
      </c>
      <c r="D51" s="194">
        <v>90</v>
      </c>
      <c r="E51" s="732">
        <f t="shared" si="0"/>
        <v>0.78260869565217395</v>
      </c>
      <c r="G51" s="250"/>
      <c r="H51" s="250"/>
      <c r="I51" s="733"/>
    </row>
    <row r="52" spans="1:9">
      <c r="A52" s="730" t="s">
        <v>89</v>
      </c>
      <c r="B52" s="220" t="s">
        <v>90</v>
      </c>
      <c r="C52" s="194">
        <v>52</v>
      </c>
      <c r="D52" s="194">
        <v>44</v>
      </c>
      <c r="E52" s="732">
        <f t="shared" si="0"/>
        <v>0.84615384615384615</v>
      </c>
      <c r="G52" s="250"/>
      <c r="H52" s="250"/>
      <c r="I52" s="733"/>
    </row>
    <row r="53" spans="1:9">
      <c r="A53" s="730" t="s">
        <v>91</v>
      </c>
      <c r="B53" s="731" t="s">
        <v>92</v>
      </c>
      <c r="C53" s="194">
        <v>52</v>
      </c>
      <c r="D53" s="194">
        <v>38</v>
      </c>
      <c r="E53" s="732">
        <f t="shared" si="0"/>
        <v>0.73076923076923073</v>
      </c>
      <c r="G53" s="250"/>
      <c r="H53" s="250"/>
      <c r="I53" s="733"/>
    </row>
    <row r="54" spans="1:9">
      <c r="A54" s="730" t="s">
        <v>93</v>
      </c>
      <c r="B54" s="731" t="s">
        <v>94</v>
      </c>
      <c r="C54" s="194">
        <v>52</v>
      </c>
      <c r="D54" s="194">
        <v>44</v>
      </c>
      <c r="E54" s="732">
        <f t="shared" si="0"/>
        <v>0.84615384615384615</v>
      </c>
      <c r="G54" s="250"/>
      <c r="H54" s="250"/>
      <c r="I54" s="733"/>
    </row>
    <row r="55" spans="1:9">
      <c r="A55" s="730" t="s">
        <v>95</v>
      </c>
      <c r="B55" s="731" t="s">
        <v>96</v>
      </c>
      <c r="C55" s="194">
        <v>47</v>
      </c>
      <c r="D55" s="194">
        <v>31</v>
      </c>
      <c r="E55" s="732">
        <f t="shared" si="0"/>
        <v>0.65957446808510634</v>
      </c>
      <c r="G55" s="250"/>
      <c r="H55" s="250"/>
      <c r="I55" s="733"/>
    </row>
    <row r="56" spans="1:9">
      <c r="A56" s="730" t="s">
        <v>97</v>
      </c>
      <c r="B56" s="731" t="s">
        <v>98</v>
      </c>
      <c r="C56" s="194">
        <v>51</v>
      </c>
      <c r="D56" s="194">
        <v>22</v>
      </c>
      <c r="E56" s="732">
        <f t="shared" si="0"/>
        <v>0.43137254901960786</v>
      </c>
      <c r="G56" s="734"/>
      <c r="H56" s="734"/>
      <c r="I56" s="733"/>
    </row>
    <row r="57" spans="1:9">
      <c r="A57" s="730" t="s">
        <v>99</v>
      </c>
      <c r="B57" s="731" t="s">
        <v>100</v>
      </c>
      <c r="C57" s="194">
        <v>34</v>
      </c>
      <c r="D57" s="194">
        <v>17</v>
      </c>
      <c r="E57" s="732">
        <f t="shared" si="0"/>
        <v>0.5</v>
      </c>
    </row>
    <row r="58" spans="1:9">
      <c r="A58" s="730">
        <v>72</v>
      </c>
      <c r="B58" s="731" t="s">
        <v>117</v>
      </c>
      <c r="C58" s="195">
        <v>17</v>
      </c>
      <c r="D58" s="195">
        <v>15</v>
      </c>
      <c r="E58" s="732">
        <f t="shared" si="0"/>
        <v>0.88235294117647056</v>
      </c>
    </row>
    <row r="59" spans="1:9">
      <c r="A59" s="730" t="s">
        <v>101</v>
      </c>
      <c r="B59" s="731" t="s">
        <v>102</v>
      </c>
      <c r="C59" s="194">
        <v>6</v>
      </c>
      <c r="D59" s="194">
        <v>6</v>
      </c>
      <c r="E59" s="732">
        <f t="shared" si="0"/>
        <v>1</v>
      </c>
    </row>
    <row r="60" spans="1:9">
      <c r="A60" s="730" t="s">
        <v>103</v>
      </c>
      <c r="B60" s="731" t="s">
        <v>104</v>
      </c>
      <c r="C60" s="194">
        <v>43</v>
      </c>
      <c r="D60" s="194">
        <v>15</v>
      </c>
      <c r="E60" s="732">
        <f t="shared" si="0"/>
        <v>0.34883720930232559</v>
      </c>
    </row>
    <row r="61" spans="1:9">
      <c r="A61" s="730">
        <v>76</v>
      </c>
      <c r="B61" s="731" t="s">
        <v>200</v>
      </c>
      <c r="C61" s="194">
        <v>4</v>
      </c>
      <c r="D61" s="194">
        <v>3</v>
      </c>
      <c r="E61" s="732">
        <f t="shared" si="0"/>
        <v>0.75</v>
      </c>
    </row>
    <row r="62" spans="1:9">
      <c r="A62" s="730">
        <v>77</v>
      </c>
      <c r="B62" s="731" t="s">
        <v>201</v>
      </c>
      <c r="C62" s="194">
        <v>1</v>
      </c>
      <c r="D62" s="194">
        <v>1</v>
      </c>
      <c r="E62" s="732" t="s">
        <v>530</v>
      </c>
    </row>
    <row r="63" spans="1:9">
      <c r="A63" s="735" t="s">
        <v>517</v>
      </c>
      <c r="B63" s="736" t="s">
        <v>518</v>
      </c>
      <c r="C63" s="194">
        <v>17</v>
      </c>
      <c r="D63" s="194">
        <v>6</v>
      </c>
      <c r="E63" s="732">
        <f t="shared" si="0"/>
        <v>0.35294117647058826</v>
      </c>
    </row>
    <row r="64" spans="1:9">
      <c r="A64" s="735" t="s">
        <v>519</v>
      </c>
      <c r="B64" s="736" t="s">
        <v>520</v>
      </c>
      <c r="C64" s="194">
        <v>8</v>
      </c>
      <c r="D64" s="194">
        <v>4</v>
      </c>
      <c r="E64" s="732">
        <f t="shared" si="0"/>
        <v>0.5</v>
      </c>
    </row>
    <row r="65" spans="1:5" ht="13.8" thickBot="1">
      <c r="A65" s="737" t="s">
        <v>521</v>
      </c>
      <c r="B65" s="738" t="s">
        <v>522</v>
      </c>
      <c r="C65" s="199">
        <v>12</v>
      </c>
      <c r="D65" s="199">
        <v>8</v>
      </c>
      <c r="E65" s="739">
        <f t="shared" si="0"/>
        <v>0.66666666666666663</v>
      </c>
    </row>
    <row r="66" spans="1:5" ht="12.75" customHeight="1" thickBot="1">
      <c r="A66" s="740"/>
      <c r="B66" s="741"/>
      <c r="C66" s="742"/>
      <c r="D66" s="743"/>
      <c r="E66" s="744"/>
    </row>
    <row r="67" spans="1:5" ht="12.75" customHeight="1" thickBot="1">
      <c r="A67" s="745"/>
      <c r="B67" s="795" t="s">
        <v>105</v>
      </c>
      <c r="C67" s="796">
        <f>SUM(C9:C66)</f>
        <v>2653</v>
      </c>
      <c r="D67" s="796">
        <f>SUM(D9:D66)</f>
        <v>1938</v>
      </c>
      <c r="E67" s="797">
        <f>D67/C67</f>
        <v>0.7304937806257068</v>
      </c>
    </row>
    <row r="68" spans="1:5" ht="3.75" customHeight="1">
      <c r="A68" s="747"/>
      <c r="B68" s="748"/>
      <c r="C68" s="749"/>
      <c r="D68" s="750"/>
      <c r="E68" s="751"/>
    </row>
    <row r="69" spans="1:5" s="756" customFormat="1" ht="12" customHeight="1">
      <c r="A69" s="752" t="str">
        <f>'fiche technique'!A14</f>
        <v>Source: GALAXIE (ANTEE), DGRH A1-1 &amp; DGRH A2, juin 2014</v>
      </c>
      <c r="B69" s="753"/>
      <c r="C69" s="754"/>
      <c r="D69" s="754"/>
      <c r="E69" s="755"/>
    </row>
    <row r="70" spans="1:5">
      <c r="A70" s="457" t="s">
        <v>515</v>
      </c>
      <c r="B70" s="679"/>
      <c r="C70" s="679"/>
      <c r="D70" s="679"/>
      <c r="E70" s="679"/>
    </row>
    <row r="71" spans="1:5">
      <c r="A71" s="457" t="s">
        <v>514</v>
      </c>
      <c r="B71" s="679"/>
      <c r="C71" s="679"/>
      <c r="D71" s="679"/>
      <c r="E71" s="679"/>
    </row>
    <row r="72" spans="1:5">
      <c r="C72" s="679"/>
      <c r="D72" s="679"/>
      <c r="E72" s="679"/>
    </row>
    <row r="73" spans="1:5">
      <c r="B73" s="720"/>
      <c r="C73" s="757"/>
      <c r="D73" s="757"/>
      <c r="E73" s="757"/>
    </row>
    <row r="74" spans="1:5">
      <c r="C74" s="679"/>
      <c r="D74" s="679"/>
      <c r="E74" s="679"/>
    </row>
    <row r="75" spans="1:5">
      <c r="C75" s="679"/>
      <c r="D75" s="679"/>
      <c r="E75" s="679"/>
    </row>
    <row r="76" spans="1:5">
      <c r="C76" s="679"/>
      <c r="D76" s="679"/>
      <c r="E76" s="679"/>
    </row>
    <row r="77" spans="1:5">
      <c r="C77" s="679"/>
      <c r="D77" s="679"/>
      <c r="E77" s="679"/>
    </row>
    <row r="78" spans="1:5">
      <c r="C78" s="679"/>
      <c r="D78" s="679"/>
      <c r="E78" s="679"/>
    </row>
    <row r="79" spans="1:5">
      <c r="C79" s="679"/>
      <c r="D79" s="679"/>
      <c r="E79" s="679"/>
    </row>
    <row r="80" spans="1:5">
      <c r="C80" s="679"/>
      <c r="D80" s="679"/>
      <c r="E80" s="679"/>
    </row>
    <row r="81" spans="3:5">
      <c r="C81" s="679"/>
      <c r="D81" s="679"/>
      <c r="E81" s="679"/>
    </row>
    <row r="82" spans="3:5">
      <c r="C82" s="679"/>
      <c r="D82" s="679"/>
      <c r="E82" s="679"/>
    </row>
    <row r="83" spans="3:5">
      <c r="C83" s="679"/>
      <c r="D83" s="679"/>
      <c r="E83" s="679"/>
    </row>
    <row r="84" spans="3:5">
      <c r="C84" s="679"/>
      <c r="D84" s="679"/>
      <c r="E84" s="679"/>
    </row>
    <row r="85" spans="3:5">
      <c r="C85" s="679"/>
      <c r="D85" s="679"/>
      <c r="E85" s="679"/>
    </row>
    <row r="86" spans="3:5">
      <c r="C86" s="679"/>
      <c r="D86" s="679"/>
      <c r="E86" s="679"/>
    </row>
    <row r="87" spans="3:5">
      <c r="C87" s="679"/>
      <c r="D87" s="679"/>
      <c r="E87" s="679"/>
    </row>
    <row r="88" spans="3:5">
      <c r="C88" s="679"/>
      <c r="D88" s="679"/>
      <c r="E88" s="679"/>
    </row>
    <row r="89" spans="3:5">
      <c r="C89" s="679"/>
      <c r="D89" s="679"/>
      <c r="E89" s="679"/>
    </row>
    <row r="90" spans="3:5">
      <c r="C90" s="679"/>
      <c r="D90" s="679"/>
      <c r="E90" s="679"/>
    </row>
    <row r="91" spans="3:5">
      <c r="C91" s="679"/>
      <c r="D91" s="679"/>
      <c r="E91" s="679"/>
    </row>
    <row r="92" spans="3:5">
      <c r="C92" s="679"/>
      <c r="D92" s="679"/>
      <c r="E92" s="679"/>
    </row>
    <row r="93" spans="3:5">
      <c r="C93" s="679"/>
      <c r="D93" s="679"/>
      <c r="E93" s="679"/>
    </row>
    <row r="94" spans="3:5">
      <c r="C94" s="679"/>
      <c r="D94" s="679"/>
      <c r="E94" s="679"/>
    </row>
    <row r="95" spans="3:5">
      <c r="C95" s="679"/>
      <c r="D95" s="679"/>
      <c r="E95" s="679"/>
    </row>
    <row r="96" spans="3:5">
      <c r="C96" s="679"/>
      <c r="D96" s="679"/>
      <c r="E96" s="679"/>
    </row>
    <row r="97" spans="3:5">
      <c r="C97" s="679"/>
      <c r="D97" s="679"/>
      <c r="E97" s="679"/>
    </row>
    <row r="98" spans="3:5">
      <c r="C98" s="679"/>
      <c r="D98" s="679"/>
      <c r="E98" s="679"/>
    </row>
    <row r="99" spans="3:5">
      <c r="C99" s="679"/>
      <c r="D99" s="679"/>
      <c r="E99" s="679"/>
    </row>
    <row r="100" spans="3:5">
      <c r="C100" s="679"/>
      <c r="D100" s="679"/>
      <c r="E100" s="679"/>
    </row>
    <row r="101" spans="3:5">
      <c r="C101" s="679"/>
      <c r="D101" s="679"/>
      <c r="E101" s="679"/>
    </row>
    <row r="102" spans="3:5">
      <c r="C102" s="679"/>
      <c r="D102" s="679"/>
      <c r="E102" s="679"/>
    </row>
    <row r="103" spans="3:5">
      <c r="C103" s="679"/>
      <c r="D103" s="679"/>
      <c r="E103" s="679"/>
    </row>
    <row r="104" spans="3:5">
      <c r="C104" s="679"/>
      <c r="D104" s="679"/>
      <c r="E104" s="679"/>
    </row>
    <row r="105" spans="3:5">
      <c r="C105" s="679"/>
      <c r="D105" s="679"/>
      <c r="E105" s="679"/>
    </row>
    <row r="106" spans="3:5">
      <c r="C106" s="679"/>
      <c r="D106" s="679"/>
      <c r="E106" s="679"/>
    </row>
    <row r="107" spans="3:5">
      <c r="C107" s="679"/>
      <c r="D107" s="679"/>
      <c r="E107" s="679"/>
    </row>
    <row r="108" spans="3:5">
      <c r="C108" s="679"/>
      <c r="D108" s="679"/>
      <c r="E108" s="679"/>
    </row>
    <row r="109" spans="3:5">
      <c r="C109" s="679"/>
      <c r="D109" s="679"/>
      <c r="E109" s="679"/>
    </row>
    <row r="110" spans="3:5">
      <c r="C110" s="679"/>
      <c r="D110" s="679"/>
      <c r="E110" s="679"/>
    </row>
    <row r="111" spans="3:5">
      <c r="C111" s="679"/>
      <c r="D111" s="679"/>
      <c r="E111" s="679"/>
    </row>
    <row r="112" spans="3:5">
      <c r="C112" s="679"/>
      <c r="D112" s="679"/>
      <c r="E112" s="679"/>
    </row>
    <row r="113" spans="3:5">
      <c r="C113" s="679"/>
      <c r="D113" s="679"/>
      <c r="E113" s="679"/>
    </row>
    <row r="114" spans="3:5">
      <c r="C114" s="679"/>
      <c r="D114" s="679"/>
      <c r="E114" s="679"/>
    </row>
    <row r="115" spans="3:5">
      <c r="C115" s="679"/>
      <c r="D115" s="679"/>
      <c r="E115" s="679"/>
    </row>
    <row r="116" spans="3:5">
      <c r="C116" s="679"/>
      <c r="D116" s="679"/>
      <c r="E116" s="679"/>
    </row>
    <row r="117" spans="3:5">
      <c r="C117" s="679"/>
      <c r="D117" s="679"/>
      <c r="E117" s="679"/>
    </row>
    <row r="118" spans="3:5">
      <c r="C118" s="679"/>
      <c r="D118" s="679"/>
      <c r="E118" s="679"/>
    </row>
    <row r="119" spans="3:5">
      <c r="C119" s="679"/>
      <c r="D119" s="679"/>
      <c r="E119" s="679"/>
    </row>
    <row r="120" spans="3:5">
      <c r="C120" s="679"/>
      <c r="D120" s="679"/>
      <c r="E120" s="679"/>
    </row>
    <row r="121" spans="3:5">
      <c r="C121" s="679"/>
      <c r="D121" s="679"/>
      <c r="E121" s="679"/>
    </row>
    <row r="122" spans="3:5">
      <c r="C122" s="679"/>
      <c r="D122" s="679"/>
      <c r="E122" s="679"/>
    </row>
    <row r="123" spans="3:5">
      <c r="C123" s="679"/>
      <c r="D123" s="679"/>
      <c r="E123" s="679"/>
    </row>
    <row r="124" spans="3:5">
      <c r="C124" s="679"/>
      <c r="D124" s="679"/>
      <c r="E124" s="679"/>
    </row>
    <row r="125" spans="3:5">
      <c r="C125" s="679"/>
      <c r="D125" s="679"/>
      <c r="E125" s="679"/>
    </row>
    <row r="126" spans="3:5">
      <c r="C126" s="679"/>
      <c r="D126" s="679"/>
      <c r="E126" s="679"/>
    </row>
    <row r="127" spans="3:5">
      <c r="C127" s="679"/>
      <c r="D127" s="679"/>
      <c r="E127" s="679"/>
    </row>
    <row r="128" spans="3:5">
      <c r="C128" s="679"/>
      <c r="D128" s="679"/>
      <c r="E128" s="679"/>
    </row>
    <row r="129" spans="3:5">
      <c r="C129" s="679"/>
      <c r="D129" s="679"/>
      <c r="E129" s="679"/>
    </row>
    <row r="130" spans="3:5">
      <c r="C130" s="679"/>
      <c r="D130" s="679"/>
      <c r="E130" s="679"/>
    </row>
    <row r="131" spans="3:5">
      <c r="C131" s="679"/>
      <c r="D131" s="679"/>
      <c r="E131" s="679"/>
    </row>
    <row r="132" spans="3:5">
      <c r="C132" s="679"/>
      <c r="D132" s="679"/>
      <c r="E132" s="679"/>
    </row>
    <row r="133" spans="3:5">
      <c r="C133" s="679"/>
      <c r="D133" s="679"/>
      <c r="E133" s="679"/>
    </row>
    <row r="134" spans="3:5">
      <c r="C134" s="679"/>
      <c r="D134" s="679"/>
      <c r="E134" s="679"/>
    </row>
    <row r="135" spans="3:5">
      <c r="C135" s="679"/>
      <c r="D135" s="679"/>
      <c r="E135" s="679"/>
    </row>
    <row r="136" spans="3:5">
      <c r="C136" s="679"/>
      <c r="D136" s="679"/>
      <c r="E136" s="679"/>
    </row>
    <row r="137" spans="3:5">
      <c r="C137" s="679"/>
      <c r="D137" s="679"/>
      <c r="E137" s="679"/>
    </row>
    <row r="138" spans="3:5">
      <c r="C138" s="679"/>
      <c r="D138" s="679"/>
      <c r="E138" s="679"/>
    </row>
    <row r="139" spans="3:5">
      <c r="C139" s="679"/>
      <c r="D139" s="679"/>
      <c r="E139" s="679"/>
    </row>
    <row r="140" spans="3:5">
      <c r="C140" s="679"/>
      <c r="D140" s="679"/>
      <c r="E140" s="679"/>
    </row>
    <row r="141" spans="3:5">
      <c r="C141" s="679"/>
      <c r="D141" s="679"/>
      <c r="E141" s="679"/>
    </row>
    <row r="142" spans="3:5">
      <c r="C142" s="679"/>
      <c r="D142" s="679"/>
      <c r="E142" s="679"/>
    </row>
    <row r="143" spans="3:5">
      <c r="C143" s="679"/>
      <c r="D143" s="679"/>
      <c r="E143" s="679"/>
    </row>
    <row r="144" spans="3:5">
      <c r="C144" s="679"/>
      <c r="D144" s="679"/>
      <c r="E144" s="679"/>
    </row>
    <row r="145" spans="3:5">
      <c r="C145" s="679"/>
      <c r="D145" s="679"/>
      <c r="E145" s="679"/>
    </row>
    <row r="146" spans="3:5">
      <c r="C146" s="679"/>
      <c r="D146" s="679"/>
      <c r="E146" s="679"/>
    </row>
    <row r="147" spans="3:5">
      <c r="C147" s="679"/>
      <c r="D147" s="679"/>
      <c r="E147" s="679"/>
    </row>
    <row r="148" spans="3:5">
      <c r="C148" s="679"/>
      <c r="D148" s="679"/>
      <c r="E148" s="679"/>
    </row>
    <row r="149" spans="3:5">
      <c r="C149" s="679"/>
      <c r="D149" s="679"/>
      <c r="E149" s="679"/>
    </row>
    <row r="150" spans="3:5">
      <c r="C150" s="679"/>
      <c r="D150" s="679"/>
      <c r="E150" s="679"/>
    </row>
    <row r="151" spans="3:5">
      <c r="C151" s="679"/>
      <c r="D151" s="679"/>
      <c r="E151" s="679"/>
    </row>
    <row r="152" spans="3:5">
      <c r="C152" s="679"/>
      <c r="D152" s="679"/>
      <c r="E152" s="679"/>
    </row>
    <row r="153" spans="3:5">
      <c r="C153" s="679"/>
      <c r="D153" s="679"/>
      <c r="E153" s="679"/>
    </row>
    <row r="154" spans="3:5">
      <c r="C154" s="679"/>
      <c r="D154" s="679"/>
      <c r="E154" s="679"/>
    </row>
    <row r="155" spans="3:5">
      <c r="C155" s="679"/>
      <c r="D155" s="679"/>
      <c r="E155" s="679"/>
    </row>
    <row r="156" spans="3:5">
      <c r="C156" s="679"/>
      <c r="D156" s="679"/>
      <c r="E156" s="679"/>
    </row>
    <row r="157" spans="3:5">
      <c r="C157" s="679"/>
      <c r="D157" s="679"/>
      <c r="E157" s="679"/>
    </row>
    <row r="158" spans="3:5">
      <c r="C158" s="679"/>
      <c r="D158" s="679"/>
      <c r="E158" s="679"/>
    </row>
    <row r="159" spans="3:5">
      <c r="C159" s="679"/>
      <c r="D159" s="679"/>
      <c r="E159" s="679"/>
    </row>
    <row r="160" spans="3:5">
      <c r="C160" s="679"/>
      <c r="D160" s="679"/>
      <c r="E160" s="679"/>
    </row>
    <row r="161" spans="3:5">
      <c r="C161" s="679"/>
      <c r="D161" s="679"/>
      <c r="E161" s="679"/>
    </row>
    <row r="162" spans="3:5">
      <c r="C162" s="679"/>
      <c r="D162" s="679"/>
      <c r="E162" s="679"/>
    </row>
    <row r="163" spans="3:5">
      <c r="C163" s="679"/>
      <c r="D163" s="679"/>
      <c r="E163" s="679"/>
    </row>
    <row r="164" spans="3:5">
      <c r="C164" s="679"/>
      <c r="D164" s="679"/>
      <c r="E164" s="679"/>
    </row>
    <row r="165" spans="3:5">
      <c r="C165" s="679"/>
      <c r="D165" s="679"/>
      <c r="E165" s="679"/>
    </row>
    <row r="166" spans="3:5">
      <c r="C166" s="679"/>
      <c r="D166" s="679"/>
      <c r="E166" s="679"/>
    </row>
    <row r="167" spans="3:5">
      <c r="C167" s="679"/>
      <c r="D167" s="679"/>
      <c r="E167" s="679"/>
    </row>
    <row r="168" spans="3:5">
      <c r="C168" s="679"/>
      <c r="D168" s="679"/>
      <c r="E168" s="679"/>
    </row>
    <row r="169" spans="3:5">
      <c r="C169" s="679"/>
      <c r="D169" s="679"/>
      <c r="E169" s="679"/>
    </row>
    <row r="170" spans="3:5">
      <c r="C170" s="679"/>
      <c r="D170" s="679"/>
      <c r="E170" s="679"/>
    </row>
    <row r="171" spans="3:5">
      <c r="C171" s="679"/>
      <c r="D171" s="679"/>
      <c r="E171" s="679"/>
    </row>
    <row r="172" spans="3:5">
      <c r="C172" s="679"/>
      <c r="D172" s="679"/>
      <c r="E172" s="679"/>
    </row>
    <row r="173" spans="3:5">
      <c r="C173" s="679"/>
      <c r="D173" s="679"/>
      <c r="E173" s="679"/>
    </row>
    <row r="174" spans="3:5">
      <c r="C174" s="679"/>
      <c r="D174" s="679"/>
      <c r="E174" s="679"/>
    </row>
    <row r="175" spans="3:5">
      <c r="C175" s="679"/>
      <c r="D175" s="679"/>
      <c r="E175" s="679"/>
    </row>
    <row r="176" spans="3:5">
      <c r="C176" s="679"/>
      <c r="D176" s="679"/>
      <c r="E176" s="679"/>
    </row>
    <row r="177" spans="3:5">
      <c r="C177" s="679"/>
      <c r="D177" s="679"/>
      <c r="E177" s="679"/>
    </row>
    <row r="178" spans="3:5">
      <c r="C178" s="679"/>
      <c r="D178" s="679"/>
      <c r="E178" s="679"/>
    </row>
    <row r="179" spans="3:5">
      <c r="C179" s="679"/>
      <c r="D179" s="679"/>
      <c r="E179" s="679"/>
    </row>
    <row r="180" spans="3:5">
      <c r="C180" s="679"/>
      <c r="D180" s="679"/>
      <c r="E180" s="679"/>
    </row>
    <row r="181" spans="3:5">
      <c r="C181" s="679"/>
      <c r="D181" s="679"/>
      <c r="E181" s="679"/>
    </row>
    <row r="182" spans="3:5">
      <c r="C182" s="679"/>
      <c r="D182" s="679"/>
      <c r="E182" s="679"/>
    </row>
    <row r="183" spans="3:5">
      <c r="C183" s="679"/>
      <c r="D183" s="679"/>
      <c r="E183" s="679"/>
    </row>
    <row r="184" spans="3:5">
      <c r="C184" s="679"/>
      <c r="D184" s="679"/>
      <c r="E184" s="679"/>
    </row>
    <row r="185" spans="3:5">
      <c r="C185" s="679"/>
      <c r="D185" s="679"/>
      <c r="E185" s="679"/>
    </row>
    <row r="186" spans="3:5">
      <c r="C186" s="679"/>
      <c r="D186" s="679"/>
      <c r="E186" s="679"/>
    </row>
    <row r="187" spans="3:5">
      <c r="C187" s="679"/>
      <c r="D187" s="679"/>
      <c r="E187" s="679"/>
    </row>
    <row r="188" spans="3:5">
      <c r="C188" s="679"/>
      <c r="D188" s="679"/>
      <c r="E188" s="679"/>
    </row>
    <row r="189" spans="3:5">
      <c r="C189" s="679"/>
      <c r="D189" s="679"/>
      <c r="E189" s="679"/>
    </row>
    <row r="190" spans="3:5">
      <c r="C190" s="679"/>
      <c r="D190" s="679"/>
      <c r="E190" s="679"/>
    </row>
    <row r="191" spans="3:5">
      <c r="C191" s="679"/>
      <c r="D191" s="679"/>
      <c r="E191" s="679"/>
    </row>
    <row r="192" spans="3:5">
      <c r="C192" s="679"/>
      <c r="D192" s="679"/>
      <c r="E192" s="679"/>
    </row>
    <row r="193" spans="3:5">
      <c r="C193" s="679"/>
      <c r="D193" s="679"/>
      <c r="E193" s="679"/>
    </row>
    <row r="194" spans="3:5">
      <c r="C194" s="679"/>
      <c r="D194" s="679"/>
      <c r="E194" s="679"/>
    </row>
    <row r="195" spans="3:5">
      <c r="C195" s="679"/>
      <c r="D195" s="679"/>
      <c r="E195" s="679"/>
    </row>
    <row r="196" spans="3:5">
      <c r="C196" s="679"/>
      <c r="D196" s="679"/>
      <c r="E196" s="679"/>
    </row>
    <row r="197" spans="3:5">
      <c r="C197" s="679"/>
      <c r="D197" s="679"/>
      <c r="E197" s="679"/>
    </row>
    <row r="198" spans="3:5">
      <c r="C198" s="679"/>
      <c r="D198" s="679"/>
      <c r="E198" s="679"/>
    </row>
    <row r="199" spans="3:5">
      <c r="C199" s="679"/>
      <c r="D199" s="679"/>
      <c r="E199" s="679"/>
    </row>
    <row r="200" spans="3:5">
      <c r="C200" s="679"/>
      <c r="D200" s="679"/>
      <c r="E200" s="679"/>
    </row>
    <row r="201" spans="3:5">
      <c r="C201" s="679"/>
      <c r="D201" s="679"/>
      <c r="E201" s="679"/>
    </row>
    <row r="202" spans="3:5">
      <c r="C202" s="679"/>
      <c r="D202" s="679"/>
      <c r="E202" s="679"/>
    </row>
    <row r="203" spans="3:5">
      <c r="C203" s="679"/>
      <c r="D203" s="679"/>
      <c r="E203" s="679"/>
    </row>
    <row r="204" spans="3:5">
      <c r="C204" s="679"/>
      <c r="D204" s="679"/>
      <c r="E204" s="679"/>
    </row>
    <row r="205" spans="3:5">
      <c r="C205" s="679"/>
      <c r="D205" s="679"/>
      <c r="E205" s="679"/>
    </row>
    <row r="206" spans="3:5">
      <c r="C206" s="679"/>
      <c r="D206" s="679"/>
      <c r="E206" s="679"/>
    </row>
    <row r="207" spans="3:5">
      <c r="C207" s="679"/>
      <c r="D207" s="679"/>
      <c r="E207" s="679"/>
    </row>
    <row r="208" spans="3:5">
      <c r="C208" s="679"/>
      <c r="D208" s="679"/>
      <c r="E208" s="679"/>
    </row>
    <row r="209" spans="3:5">
      <c r="C209" s="679"/>
      <c r="D209" s="679"/>
      <c r="E209" s="679"/>
    </row>
    <row r="210" spans="3:5">
      <c r="C210" s="679"/>
      <c r="D210" s="679"/>
      <c r="E210" s="679"/>
    </row>
    <row r="211" spans="3:5">
      <c r="C211" s="679"/>
      <c r="D211" s="679"/>
      <c r="E211" s="679"/>
    </row>
    <row r="212" spans="3:5">
      <c r="C212" s="679"/>
      <c r="D212" s="679"/>
      <c r="E212" s="679"/>
    </row>
    <row r="213" spans="3:5">
      <c r="C213" s="679"/>
      <c r="D213" s="679"/>
      <c r="E213" s="679"/>
    </row>
    <row r="214" spans="3:5">
      <c r="C214" s="679"/>
      <c r="D214" s="679"/>
      <c r="E214" s="679"/>
    </row>
    <row r="215" spans="3:5">
      <c r="C215" s="679"/>
      <c r="D215" s="679"/>
      <c r="E215" s="679"/>
    </row>
    <row r="216" spans="3:5">
      <c r="C216" s="679"/>
      <c r="D216" s="679"/>
      <c r="E216" s="679"/>
    </row>
    <row r="217" spans="3:5">
      <c r="C217" s="679"/>
      <c r="D217" s="679"/>
      <c r="E217" s="679"/>
    </row>
    <row r="218" spans="3:5">
      <c r="C218" s="679"/>
      <c r="D218" s="679"/>
      <c r="E218" s="679"/>
    </row>
    <row r="219" spans="3:5">
      <c r="C219" s="679"/>
      <c r="D219" s="679"/>
      <c r="E219" s="679"/>
    </row>
    <row r="220" spans="3:5">
      <c r="C220" s="679"/>
      <c r="D220" s="679"/>
      <c r="E220" s="679"/>
    </row>
    <row r="221" spans="3:5">
      <c r="C221" s="679"/>
      <c r="D221" s="679"/>
      <c r="E221" s="679"/>
    </row>
    <row r="222" spans="3:5">
      <c r="C222" s="679"/>
      <c r="D222" s="679"/>
      <c r="E222" s="679"/>
    </row>
    <row r="223" spans="3:5">
      <c r="C223" s="679"/>
      <c r="D223" s="679"/>
      <c r="E223" s="679"/>
    </row>
    <row r="224" spans="3:5">
      <c r="C224" s="679"/>
      <c r="D224" s="679"/>
      <c r="E224" s="679"/>
    </row>
    <row r="225" spans="3:5">
      <c r="C225" s="679"/>
      <c r="D225" s="679"/>
      <c r="E225" s="679"/>
    </row>
    <row r="226" spans="3:5">
      <c r="C226" s="679"/>
      <c r="D226" s="679"/>
      <c r="E226" s="679"/>
    </row>
    <row r="227" spans="3:5">
      <c r="C227" s="679"/>
      <c r="D227" s="679"/>
      <c r="E227" s="679"/>
    </row>
    <row r="228" spans="3:5">
      <c r="C228" s="679"/>
      <c r="D228" s="679"/>
      <c r="E228" s="679"/>
    </row>
    <row r="229" spans="3:5">
      <c r="C229" s="679"/>
      <c r="D229" s="679"/>
      <c r="E229" s="679"/>
    </row>
    <row r="230" spans="3:5">
      <c r="C230" s="679"/>
      <c r="D230" s="679"/>
      <c r="E230" s="679"/>
    </row>
    <row r="231" spans="3:5">
      <c r="C231" s="679"/>
      <c r="D231" s="679"/>
      <c r="E231" s="679"/>
    </row>
    <row r="232" spans="3:5">
      <c r="C232" s="679"/>
      <c r="D232" s="679"/>
      <c r="E232" s="679"/>
    </row>
    <row r="233" spans="3:5">
      <c r="C233" s="679"/>
      <c r="D233" s="679"/>
      <c r="E233" s="679"/>
    </row>
    <row r="234" spans="3:5">
      <c r="C234" s="679"/>
      <c r="D234" s="679"/>
      <c r="E234" s="679"/>
    </row>
    <row r="235" spans="3:5">
      <c r="C235" s="679"/>
      <c r="D235" s="679"/>
      <c r="E235" s="679"/>
    </row>
    <row r="236" spans="3:5">
      <c r="C236" s="679"/>
      <c r="D236" s="679"/>
      <c r="E236" s="679"/>
    </row>
    <row r="237" spans="3:5">
      <c r="C237" s="679"/>
      <c r="D237" s="679"/>
      <c r="E237" s="679"/>
    </row>
    <row r="238" spans="3:5">
      <c r="C238" s="679"/>
      <c r="D238" s="679"/>
      <c r="E238" s="679"/>
    </row>
    <row r="239" spans="3:5">
      <c r="C239" s="679"/>
      <c r="D239" s="679"/>
      <c r="E239" s="679"/>
    </row>
    <row r="240" spans="3:5">
      <c r="C240" s="679"/>
      <c r="D240" s="679"/>
      <c r="E240" s="679"/>
    </row>
    <row r="241" spans="3:5">
      <c r="C241" s="679"/>
      <c r="D241" s="679"/>
      <c r="E241" s="679"/>
    </row>
    <row r="242" spans="3:5">
      <c r="C242" s="679"/>
      <c r="D242" s="679"/>
      <c r="E242" s="679"/>
    </row>
    <row r="243" spans="3:5">
      <c r="C243" s="679"/>
      <c r="D243" s="679"/>
      <c r="E243" s="679"/>
    </row>
    <row r="244" spans="3:5">
      <c r="C244" s="679"/>
      <c r="D244" s="679"/>
      <c r="E244" s="679"/>
    </row>
    <row r="245" spans="3:5">
      <c r="C245" s="679"/>
      <c r="D245" s="679"/>
      <c r="E245" s="679"/>
    </row>
    <row r="246" spans="3:5">
      <c r="C246" s="679"/>
      <c r="D246" s="679"/>
      <c r="E246" s="679"/>
    </row>
    <row r="247" spans="3:5">
      <c r="C247" s="679"/>
      <c r="D247" s="679"/>
      <c r="E247" s="679"/>
    </row>
    <row r="248" spans="3:5">
      <c r="C248" s="679"/>
      <c r="D248" s="679"/>
      <c r="E248" s="679"/>
    </row>
    <row r="249" spans="3:5">
      <c r="C249" s="679"/>
      <c r="D249" s="679"/>
      <c r="E249" s="679"/>
    </row>
    <row r="250" spans="3:5">
      <c r="C250" s="679"/>
      <c r="D250" s="679"/>
      <c r="E250" s="679"/>
    </row>
    <row r="251" spans="3:5">
      <c r="C251" s="679"/>
      <c r="D251" s="679"/>
      <c r="E251" s="679"/>
    </row>
    <row r="252" spans="3:5">
      <c r="C252" s="679"/>
      <c r="D252" s="679"/>
      <c r="E252" s="679"/>
    </row>
    <row r="253" spans="3:5">
      <c r="C253" s="679"/>
      <c r="D253" s="679"/>
      <c r="E253" s="679"/>
    </row>
    <row r="254" spans="3:5">
      <c r="C254" s="679"/>
      <c r="D254" s="679"/>
      <c r="E254" s="679"/>
    </row>
    <row r="255" spans="3:5">
      <c r="C255" s="679"/>
      <c r="D255" s="679"/>
      <c r="E255" s="679"/>
    </row>
    <row r="256" spans="3:5">
      <c r="C256" s="679"/>
      <c r="D256" s="679"/>
      <c r="E256" s="679"/>
    </row>
    <row r="257" spans="3:5">
      <c r="C257" s="679"/>
      <c r="D257" s="679"/>
      <c r="E257" s="679"/>
    </row>
    <row r="258" spans="3:5">
      <c r="C258" s="679"/>
      <c r="D258" s="679"/>
      <c r="E258" s="679"/>
    </row>
    <row r="259" spans="3:5">
      <c r="C259" s="679"/>
      <c r="D259" s="679"/>
      <c r="E259" s="679"/>
    </row>
    <row r="260" spans="3:5">
      <c r="C260" s="679"/>
      <c r="D260" s="679"/>
      <c r="E260" s="679"/>
    </row>
    <row r="261" spans="3:5">
      <c r="C261" s="679"/>
      <c r="D261" s="679"/>
      <c r="E261" s="679"/>
    </row>
    <row r="262" spans="3:5">
      <c r="C262" s="679"/>
      <c r="D262" s="679"/>
      <c r="E262" s="679"/>
    </row>
    <row r="263" spans="3:5">
      <c r="C263" s="679"/>
      <c r="D263" s="679"/>
      <c r="E263" s="679"/>
    </row>
    <row r="264" spans="3:5">
      <c r="C264" s="679"/>
      <c r="D264" s="679"/>
      <c r="E264" s="679"/>
    </row>
    <row r="265" spans="3:5">
      <c r="C265" s="679"/>
      <c r="D265" s="679"/>
      <c r="E265" s="679"/>
    </row>
    <row r="266" spans="3:5">
      <c r="C266" s="679"/>
      <c r="D266" s="679"/>
      <c r="E266" s="679"/>
    </row>
    <row r="267" spans="3:5">
      <c r="C267" s="679"/>
      <c r="D267" s="679"/>
      <c r="E267" s="679"/>
    </row>
    <row r="268" spans="3:5">
      <c r="C268" s="679"/>
      <c r="D268" s="679"/>
      <c r="E268" s="679"/>
    </row>
    <row r="269" spans="3:5">
      <c r="C269" s="679"/>
      <c r="D269" s="679"/>
      <c r="E269" s="679"/>
    </row>
    <row r="270" spans="3:5">
      <c r="C270" s="679"/>
      <c r="D270" s="679"/>
      <c r="E270" s="679"/>
    </row>
    <row r="271" spans="3:5">
      <c r="C271" s="679"/>
      <c r="D271" s="679"/>
      <c r="E271" s="679"/>
    </row>
    <row r="272" spans="3:5">
      <c r="C272" s="679"/>
      <c r="D272" s="679"/>
      <c r="E272" s="679"/>
    </row>
    <row r="273" spans="3:5">
      <c r="C273" s="679"/>
      <c r="D273" s="679"/>
      <c r="E273" s="679"/>
    </row>
    <row r="274" spans="3:5">
      <c r="C274" s="679"/>
      <c r="D274" s="679"/>
      <c r="E274" s="679"/>
    </row>
    <row r="275" spans="3:5">
      <c r="C275" s="679"/>
      <c r="D275" s="679"/>
      <c r="E275" s="679"/>
    </row>
    <row r="276" spans="3:5">
      <c r="C276" s="679"/>
      <c r="D276" s="679"/>
      <c r="E276" s="679"/>
    </row>
    <row r="277" spans="3:5">
      <c r="C277" s="679"/>
      <c r="D277" s="679"/>
      <c r="E277" s="679"/>
    </row>
    <row r="278" spans="3:5">
      <c r="C278" s="679"/>
      <c r="D278" s="679"/>
      <c r="E278" s="679"/>
    </row>
    <row r="279" spans="3:5">
      <c r="C279" s="679"/>
      <c r="D279" s="679"/>
      <c r="E279" s="679"/>
    </row>
    <row r="280" spans="3:5">
      <c r="C280" s="679"/>
      <c r="D280" s="679"/>
      <c r="E280" s="679"/>
    </row>
    <row r="281" spans="3:5">
      <c r="C281" s="679"/>
      <c r="D281" s="679"/>
      <c r="E281" s="679"/>
    </row>
    <row r="282" spans="3:5">
      <c r="C282" s="679"/>
      <c r="D282" s="679"/>
      <c r="E282" s="679"/>
    </row>
    <row r="283" spans="3:5">
      <c r="C283" s="679"/>
      <c r="D283" s="679"/>
      <c r="E283" s="679"/>
    </row>
    <row r="284" spans="3:5">
      <c r="C284" s="679"/>
      <c r="D284" s="679"/>
      <c r="E284" s="679"/>
    </row>
    <row r="285" spans="3:5">
      <c r="C285" s="679"/>
      <c r="D285" s="679"/>
      <c r="E285" s="679"/>
    </row>
    <row r="286" spans="3:5">
      <c r="C286" s="679"/>
      <c r="D286" s="679"/>
      <c r="E286" s="679"/>
    </row>
    <row r="287" spans="3:5">
      <c r="C287" s="679"/>
      <c r="D287" s="679"/>
      <c r="E287" s="679"/>
    </row>
    <row r="288" spans="3:5">
      <c r="C288" s="679"/>
      <c r="D288" s="679"/>
      <c r="E288" s="679"/>
    </row>
    <row r="289" spans="3:5">
      <c r="C289" s="679"/>
      <c r="D289" s="679"/>
      <c r="E289" s="679"/>
    </row>
    <row r="290" spans="3:5">
      <c r="C290" s="679"/>
      <c r="D290" s="679"/>
      <c r="E290" s="679"/>
    </row>
    <row r="291" spans="3:5">
      <c r="C291" s="679"/>
      <c r="D291" s="679"/>
      <c r="E291" s="679"/>
    </row>
    <row r="292" spans="3:5">
      <c r="C292" s="679"/>
      <c r="D292" s="679"/>
      <c r="E292" s="679"/>
    </row>
    <row r="293" spans="3:5">
      <c r="C293" s="679"/>
      <c r="D293" s="679"/>
      <c r="E293" s="679"/>
    </row>
    <row r="294" spans="3:5">
      <c r="C294" s="679"/>
      <c r="D294" s="679"/>
      <c r="E294" s="679"/>
    </row>
    <row r="295" spans="3:5">
      <c r="C295" s="679"/>
      <c r="D295" s="679"/>
      <c r="E295" s="679"/>
    </row>
    <row r="296" spans="3:5">
      <c r="C296" s="679"/>
      <c r="D296" s="679"/>
      <c r="E296" s="679"/>
    </row>
    <row r="297" spans="3:5">
      <c r="C297" s="679"/>
      <c r="D297" s="679"/>
      <c r="E297" s="679"/>
    </row>
    <row r="298" spans="3:5">
      <c r="C298" s="679"/>
      <c r="D298" s="679"/>
      <c r="E298" s="679"/>
    </row>
    <row r="299" spans="3:5">
      <c r="C299" s="679"/>
      <c r="D299" s="679"/>
      <c r="E299" s="679"/>
    </row>
    <row r="300" spans="3:5">
      <c r="C300" s="679"/>
      <c r="D300" s="679"/>
      <c r="E300" s="679"/>
    </row>
    <row r="301" spans="3:5">
      <c r="C301" s="679"/>
      <c r="D301" s="679"/>
      <c r="E301" s="679"/>
    </row>
    <row r="302" spans="3:5">
      <c r="C302" s="679"/>
      <c r="D302" s="679"/>
      <c r="E302" s="679"/>
    </row>
    <row r="303" spans="3:5">
      <c r="C303" s="679"/>
      <c r="D303" s="679"/>
      <c r="E303" s="679"/>
    </row>
    <row r="304" spans="3:5">
      <c r="C304" s="679"/>
      <c r="D304" s="679"/>
      <c r="E304" s="679"/>
    </row>
    <row r="305" spans="3:5">
      <c r="C305" s="679"/>
      <c r="D305" s="679"/>
      <c r="E305" s="679"/>
    </row>
    <row r="306" spans="3:5">
      <c r="C306" s="679"/>
      <c r="D306" s="679"/>
      <c r="E306" s="679"/>
    </row>
    <row r="307" spans="3:5">
      <c r="C307" s="679"/>
      <c r="D307" s="679"/>
      <c r="E307" s="679"/>
    </row>
    <row r="308" spans="3:5">
      <c r="C308" s="679"/>
      <c r="D308" s="679"/>
      <c r="E308" s="679"/>
    </row>
    <row r="309" spans="3:5">
      <c r="C309" s="679"/>
      <c r="D309" s="679"/>
      <c r="E309" s="679"/>
    </row>
    <row r="310" spans="3:5">
      <c r="C310" s="679"/>
      <c r="D310" s="679"/>
      <c r="E310" s="679"/>
    </row>
    <row r="311" spans="3:5">
      <c r="C311" s="679"/>
      <c r="D311" s="679"/>
      <c r="E311" s="679"/>
    </row>
    <row r="312" spans="3:5">
      <c r="C312" s="679"/>
      <c r="D312" s="679"/>
      <c r="E312" s="679"/>
    </row>
    <row r="313" spans="3:5">
      <c r="C313" s="679"/>
      <c r="D313" s="679"/>
      <c r="E313" s="679"/>
    </row>
    <row r="314" spans="3:5">
      <c r="C314" s="679"/>
      <c r="D314" s="679"/>
      <c r="E314" s="679"/>
    </row>
    <row r="315" spans="3:5">
      <c r="C315" s="679"/>
      <c r="D315" s="679"/>
      <c r="E315" s="679"/>
    </row>
    <row r="316" spans="3:5">
      <c r="C316" s="679"/>
      <c r="D316" s="679"/>
      <c r="E316" s="679"/>
    </row>
    <row r="317" spans="3:5">
      <c r="C317" s="679"/>
      <c r="D317" s="679"/>
      <c r="E317" s="679"/>
    </row>
    <row r="318" spans="3:5">
      <c r="C318" s="679"/>
      <c r="D318" s="679"/>
      <c r="E318" s="679"/>
    </row>
    <row r="319" spans="3:5">
      <c r="C319" s="679"/>
      <c r="D319" s="679"/>
      <c r="E319" s="679"/>
    </row>
    <row r="320" spans="3:5">
      <c r="C320" s="679"/>
      <c r="D320" s="679"/>
      <c r="E320" s="679"/>
    </row>
    <row r="321" spans="3:5">
      <c r="C321" s="679"/>
      <c r="D321" s="679"/>
      <c r="E321" s="679"/>
    </row>
    <row r="322" spans="3:5">
      <c r="C322" s="679"/>
      <c r="D322" s="679"/>
      <c r="E322" s="679"/>
    </row>
    <row r="323" spans="3:5">
      <c r="C323" s="679"/>
      <c r="D323" s="679"/>
      <c r="E323" s="679"/>
    </row>
    <row r="324" spans="3:5">
      <c r="C324" s="679"/>
      <c r="D324" s="679"/>
      <c r="E324" s="679"/>
    </row>
    <row r="325" spans="3:5">
      <c r="C325" s="679"/>
      <c r="D325" s="679"/>
      <c r="E325" s="679"/>
    </row>
    <row r="326" spans="3:5">
      <c r="C326" s="679"/>
      <c r="D326" s="679"/>
      <c r="E326" s="679"/>
    </row>
    <row r="327" spans="3:5">
      <c r="C327" s="679"/>
      <c r="D327" s="679"/>
      <c r="E327" s="679"/>
    </row>
    <row r="328" spans="3:5">
      <c r="C328" s="679"/>
      <c r="D328" s="679"/>
      <c r="E328" s="679"/>
    </row>
    <row r="329" spans="3:5">
      <c r="C329" s="679"/>
      <c r="D329" s="679"/>
      <c r="E329" s="679"/>
    </row>
    <row r="330" spans="3:5">
      <c r="C330" s="679"/>
      <c r="D330" s="679"/>
      <c r="E330" s="679"/>
    </row>
    <row r="331" spans="3:5">
      <c r="C331" s="679"/>
      <c r="D331" s="679"/>
      <c r="E331" s="679"/>
    </row>
    <row r="332" spans="3:5">
      <c r="C332" s="679"/>
      <c r="D332" s="679"/>
      <c r="E332" s="679"/>
    </row>
    <row r="333" spans="3:5">
      <c r="C333" s="679"/>
      <c r="D333" s="679"/>
      <c r="E333" s="679"/>
    </row>
    <row r="334" spans="3:5">
      <c r="C334" s="679"/>
      <c r="D334" s="679"/>
      <c r="E334" s="679"/>
    </row>
    <row r="335" spans="3:5">
      <c r="C335" s="679"/>
      <c r="D335" s="679"/>
      <c r="E335" s="679"/>
    </row>
    <row r="336" spans="3:5">
      <c r="C336" s="679"/>
      <c r="D336" s="679"/>
      <c r="E336" s="679"/>
    </row>
    <row r="337" spans="3:5">
      <c r="C337" s="679"/>
      <c r="D337" s="679"/>
      <c r="E337" s="679"/>
    </row>
    <row r="338" spans="3:5">
      <c r="C338" s="679"/>
      <c r="D338" s="679"/>
      <c r="E338" s="679"/>
    </row>
    <row r="339" spans="3:5">
      <c r="C339" s="679"/>
      <c r="D339" s="679"/>
      <c r="E339" s="679"/>
    </row>
    <row r="340" spans="3:5">
      <c r="C340" s="679"/>
      <c r="D340" s="679"/>
      <c r="E340" s="679"/>
    </row>
    <row r="341" spans="3:5">
      <c r="C341" s="679"/>
      <c r="D341" s="679"/>
      <c r="E341" s="679"/>
    </row>
    <row r="342" spans="3:5">
      <c r="C342" s="679"/>
      <c r="D342" s="679"/>
      <c r="E342" s="679"/>
    </row>
    <row r="343" spans="3:5">
      <c r="C343" s="679"/>
      <c r="D343" s="679"/>
      <c r="E343" s="679"/>
    </row>
    <row r="344" spans="3:5">
      <c r="C344" s="679"/>
      <c r="D344" s="679"/>
      <c r="E344" s="679"/>
    </row>
    <row r="345" spans="3:5">
      <c r="C345" s="679"/>
      <c r="D345" s="679"/>
      <c r="E345" s="679"/>
    </row>
    <row r="346" spans="3:5">
      <c r="C346" s="679"/>
      <c r="D346" s="679"/>
      <c r="E346" s="679"/>
    </row>
    <row r="347" spans="3:5">
      <c r="C347" s="679"/>
      <c r="D347" s="679"/>
      <c r="E347" s="679"/>
    </row>
    <row r="348" spans="3:5">
      <c r="C348" s="679"/>
      <c r="D348" s="679"/>
      <c r="E348" s="679"/>
    </row>
    <row r="349" spans="3:5">
      <c r="C349" s="679"/>
      <c r="D349" s="679"/>
      <c r="E349" s="679"/>
    </row>
    <row r="350" spans="3:5">
      <c r="C350" s="679"/>
      <c r="D350" s="679"/>
      <c r="E350" s="679"/>
    </row>
    <row r="351" spans="3:5">
      <c r="C351" s="679"/>
      <c r="D351" s="679"/>
      <c r="E351" s="679"/>
    </row>
    <row r="352" spans="3:5">
      <c r="C352" s="679"/>
      <c r="D352" s="679"/>
      <c r="E352" s="679"/>
    </row>
    <row r="353" spans="3:5">
      <c r="C353" s="679"/>
      <c r="D353" s="679"/>
      <c r="E353" s="679"/>
    </row>
    <row r="354" spans="3:5">
      <c r="C354" s="679"/>
      <c r="D354" s="679"/>
      <c r="E354" s="679"/>
    </row>
    <row r="355" spans="3:5">
      <c r="C355" s="679"/>
      <c r="D355" s="679"/>
      <c r="E355" s="679"/>
    </row>
    <row r="356" spans="3:5">
      <c r="C356" s="679"/>
      <c r="D356" s="679"/>
      <c r="E356" s="679"/>
    </row>
    <row r="357" spans="3:5">
      <c r="C357" s="679"/>
      <c r="D357" s="679"/>
      <c r="E357" s="679"/>
    </row>
    <row r="358" spans="3:5">
      <c r="C358" s="679"/>
      <c r="D358" s="679"/>
      <c r="E358" s="679"/>
    </row>
    <row r="359" spans="3:5">
      <c r="C359" s="679"/>
      <c r="D359" s="679"/>
      <c r="E359" s="679"/>
    </row>
    <row r="360" spans="3:5">
      <c r="C360" s="679"/>
      <c r="D360" s="679"/>
      <c r="E360" s="679"/>
    </row>
    <row r="361" spans="3:5">
      <c r="C361" s="679"/>
      <c r="D361" s="679"/>
      <c r="E361" s="679"/>
    </row>
    <row r="362" spans="3:5">
      <c r="C362" s="679"/>
      <c r="D362" s="679"/>
      <c r="E362" s="679"/>
    </row>
    <row r="363" spans="3:5">
      <c r="C363" s="679"/>
      <c r="D363" s="679"/>
      <c r="E363" s="679"/>
    </row>
    <row r="364" spans="3:5">
      <c r="C364" s="679"/>
      <c r="D364" s="679"/>
      <c r="E364" s="679"/>
    </row>
    <row r="365" spans="3:5">
      <c r="C365" s="679"/>
      <c r="D365" s="679"/>
      <c r="E365" s="679"/>
    </row>
    <row r="366" spans="3:5">
      <c r="C366" s="679"/>
      <c r="D366" s="679"/>
      <c r="E366" s="679"/>
    </row>
    <row r="367" spans="3:5">
      <c r="C367" s="679"/>
      <c r="D367" s="679"/>
      <c r="E367" s="679"/>
    </row>
    <row r="368" spans="3:5">
      <c r="C368" s="679"/>
      <c r="D368" s="679"/>
      <c r="E368" s="679"/>
    </row>
    <row r="369" spans="3:5">
      <c r="C369" s="679"/>
      <c r="D369" s="679"/>
      <c r="E369" s="679"/>
    </row>
    <row r="370" spans="3:5">
      <c r="C370" s="679"/>
      <c r="D370" s="679"/>
      <c r="E370" s="679"/>
    </row>
    <row r="371" spans="3:5">
      <c r="C371" s="679"/>
      <c r="D371" s="679"/>
      <c r="E371" s="679"/>
    </row>
    <row r="372" spans="3:5">
      <c r="C372" s="679"/>
      <c r="D372" s="679"/>
      <c r="E372" s="679"/>
    </row>
    <row r="373" spans="3:5">
      <c r="C373" s="679"/>
      <c r="D373" s="679"/>
      <c r="E373" s="679"/>
    </row>
    <row r="374" spans="3:5">
      <c r="C374" s="679"/>
      <c r="D374" s="679"/>
      <c r="E374" s="679"/>
    </row>
    <row r="375" spans="3:5">
      <c r="C375" s="679"/>
      <c r="D375" s="679"/>
      <c r="E375" s="679"/>
    </row>
    <row r="376" spans="3:5">
      <c r="C376" s="679"/>
      <c r="D376" s="679"/>
      <c r="E376" s="679"/>
    </row>
    <row r="377" spans="3:5">
      <c r="C377" s="679"/>
      <c r="D377" s="679"/>
      <c r="E377" s="679"/>
    </row>
    <row r="378" spans="3:5">
      <c r="C378" s="679"/>
      <c r="D378" s="679"/>
      <c r="E378" s="679"/>
    </row>
    <row r="379" spans="3:5">
      <c r="C379" s="679"/>
      <c r="D379" s="679"/>
      <c r="E379" s="679"/>
    </row>
    <row r="380" spans="3:5">
      <c r="C380" s="679"/>
      <c r="D380" s="679"/>
      <c r="E380" s="679"/>
    </row>
    <row r="381" spans="3:5">
      <c r="C381" s="679"/>
      <c r="D381" s="679"/>
      <c r="E381" s="679"/>
    </row>
    <row r="382" spans="3:5">
      <c r="C382" s="679"/>
      <c r="D382" s="679"/>
      <c r="E382" s="679"/>
    </row>
    <row r="383" spans="3:5">
      <c r="C383" s="679"/>
      <c r="D383" s="679"/>
      <c r="E383" s="679"/>
    </row>
    <row r="384" spans="3:5">
      <c r="C384" s="679"/>
      <c r="D384" s="679"/>
      <c r="E384" s="679"/>
    </row>
    <row r="385" spans="3:5">
      <c r="C385" s="679"/>
      <c r="D385" s="679"/>
      <c r="E385" s="679"/>
    </row>
    <row r="386" spans="3:5">
      <c r="C386" s="679"/>
      <c r="D386" s="679"/>
      <c r="E386" s="679"/>
    </row>
    <row r="387" spans="3:5">
      <c r="C387" s="679"/>
      <c r="D387" s="679"/>
      <c r="E387" s="679"/>
    </row>
    <row r="388" spans="3:5">
      <c r="C388" s="679"/>
      <c r="D388" s="679"/>
      <c r="E388" s="679"/>
    </row>
    <row r="389" spans="3:5">
      <c r="C389" s="679"/>
      <c r="D389" s="679"/>
      <c r="E389" s="679"/>
    </row>
    <row r="390" spans="3:5">
      <c r="C390" s="679"/>
      <c r="D390" s="679"/>
      <c r="E390" s="679"/>
    </row>
    <row r="391" spans="3:5">
      <c r="C391" s="679"/>
      <c r="D391" s="679"/>
      <c r="E391" s="679"/>
    </row>
    <row r="392" spans="3:5">
      <c r="C392" s="679"/>
      <c r="D392" s="679"/>
      <c r="E392" s="679"/>
    </row>
    <row r="393" spans="3:5">
      <c r="C393" s="679"/>
      <c r="D393" s="679"/>
      <c r="E393" s="679"/>
    </row>
    <row r="394" spans="3:5">
      <c r="C394" s="679"/>
      <c r="D394" s="679"/>
      <c r="E394" s="679"/>
    </row>
    <row r="395" spans="3:5">
      <c r="C395" s="679"/>
      <c r="D395" s="679"/>
      <c r="E395" s="679"/>
    </row>
    <row r="396" spans="3:5">
      <c r="C396" s="679"/>
      <c r="D396" s="679"/>
      <c r="E396" s="679"/>
    </row>
    <row r="397" spans="3:5">
      <c r="C397" s="679"/>
      <c r="D397" s="679"/>
      <c r="E397" s="679"/>
    </row>
    <row r="398" spans="3:5">
      <c r="C398" s="679"/>
      <c r="D398" s="679"/>
      <c r="E398" s="679"/>
    </row>
    <row r="399" spans="3:5">
      <c r="C399" s="679"/>
      <c r="D399" s="679"/>
      <c r="E399" s="679"/>
    </row>
    <row r="400" spans="3:5">
      <c r="C400" s="679"/>
      <c r="D400" s="679"/>
      <c r="E400" s="679"/>
    </row>
    <row r="401" spans="3:5">
      <c r="C401" s="679"/>
      <c r="D401" s="679"/>
      <c r="E401" s="679"/>
    </row>
    <row r="402" spans="3:5">
      <c r="C402" s="679"/>
      <c r="D402" s="679"/>
      <c r="E402" s="679"/>
    </row>
    <row r="403" spans="3:5">
      <c r="C403" s="679"/>
      <c r="D403" s="679"/>
      <c r="E403" s="679"/>
    </row>
    <row r="404" spans="3:5">
      <c r="C404" s="679"/>
      <c r="D404" s="679"/>
      <c r="E404" s="679"/>
    </row>
    <row r="405" spans="3:5">
      <c r="C405" s="679"/>
      <c r="D405" s="679"/>
      <c r="E405" s="679"/>
    </row>
    <row r="406" spans="3:5">
      <c r="C406" s="679"/>
      <c r="D406" s="679"/>
      <c r="E406" s="679"/>
    </row>
    <row r="407" spans="3:5">
      <c r="C407" s="679"/>
      <c r="D407" s="679"/>
      <c r="E407" s="679"/>
    </row>
    <row r="408" spans="3:5">
      <c r="C408" s="679"/>
      <c r="D408" s="679"/>
      <c r="E408" s="679"/>
    </row>
    <row r="409" spans="3:5">
      <c r="C409" s="679"/>
      <c r="D409" s="679"/>
      <c r="E409" s="679"/>
    </row>
    <row r="410" spans="3:5">
      <c r="C410" s="679"/>
      <c r="D410" s="679"/>
      <c r="E410" s="679"/>
    </row>
    <row r="411" spans="3:5">
      <c r="C411" s="679"/>
      <c r="D411" s="679"/>
      <c r="E411" s="679"/>
    </row>
    <row r="412" spans="3:5">
      <c r="C412" s="679"/>
      <c r="D412" s="679"/>
      <c r="E412" s="679"/>
    </row>
    <row r="413" spans="3:5">
      <c r="C413" s="679"/>
      <c r="D413" s="679"/>
      <c r="E413" s="679"/>
    </row>
    <row r="414" spans="3:5">
      <c r="C414" s="679"/>
      <c r="D414" s="679"/>
      <c r="E414" s="679"/>
    </row>
    <row r="415" spans="3:5">
      <c r="C415" s="679"/>
      <c r="D415" s="679"/>
      <c r="E415" s="679"/>
    </row>
    <row r="416" spans="3:5">
      <c r="C416" s="679"/>
      <c r="D416" s="679"/>
      <c r="E416" s="679"/>
    </row>
    <row r="417" spans="3:5">
      <c r="C417" s="679"/>
      <c r="D417" s="679"/>
      <c r="E417" s="679"/>
    </row>
    <row r="418" spans="3:5">
      <c r="C418" s="679"/>
      <c r="D418" s="679"/>
      <c r="E418" s="679"/>
    </row>
    <row r="419" spans="3:5">
      <c r="C419" s="679"/>
      <c r="D419" s="679"/>
      <c r="E419" s="679"/>
    </row>
    <row r="420" spans="3:5">
      <c r="C420" s="679"/>
      <c r="D420" s="679"/>
      <c r="E420" s="679"/>
    </row>
    <row r="421" spans="3:5">
      <c r="C421" s="679"/>
      <c r="D421" s="679"/>
      <c r="E421" s="679"/>
    </row>
    <row r="422" spans="3:5">
      <c r="C422" s="679"/>
      <c r="D422" s="679"/>
      <c r="E422" s="679"/>
    </row>
    <row r="423" spans="3:5">
      <c r="C423" s="679"/>
      <c r="D423" s="679"/>
      <c r="E423" s="679"/>
    </row>
    <row r="424" spans="3:5">
      <c r="C424" s="679"/>
      <c r="D424" s="679"/>
      <c r="E424" s="679"/>
    </row>
    <row r="425" spans="3:5">
      <c r="C425" s="679"/>
      <c r="D425" s="679"/>
      <c r="E425" s="679"/>
    </row>
    <row r="426" spans="3:5">
      <c r="C426" s="679"/>
      <c r="D426" s="679"/>
      <c r="E426" s="679"/>
    </row>
    <row r="427" spans="3:5">
      <c r="C427" s="679"/>
      <c r="D427" s="679"/>
      <c r="E427" s="679"/>
    </row>
    <row r="428" spans="3:5">
      <c r="C428" s="679"/>
      <c r="D428" s="679"/>
      <c r="E428" s="679"/>
    </row>
    <row r="429" spans="3:5">
      <c r="C429" s="679"/>
      <c r="D429" s="679"/>
      <c r="E429" s="679"/>
    </row>
    <row r="430" spans="3:5">
      <c r="C430" s="679"/>
      <c r="D430" s="679"/>
      <c r="E430" s="679"/>
    </row>
    <row r="431" spans="3:5">
      <c r="C431" s="679"/>
      <c r="D431" s="679"/>
      <c r="E431" s="679"/>
    </row>
    <row r="432" spans="3:5">
      <c r="C432" s="679"/>
      <c r="D432" s="679"/>
      <c r="E432" s="679"/>
    </row>
    <row r="433" spans="3:5">
      <c r="C433" s="679"/>
      <c r="D433" s="679"/>
      <c r="E433" s="679"/>
    </row>
    <row r="434" spans="3:5">
      <c r="C434" s="679"/>
      <c r="D434" s="679"/>
      <c r="E434" s="679"/>
    </row>
    <row r="435" spans="3:5">
      <c r="C435" s="679"/>
      <c r="D435" s="679"/>
      <c r="E435" s="679"/>
    </row>
    <row r="436" spans="3:5">
      <c r="C436" s="679"/>
      <c r="D436" s="679"/>
      <c r="E436" s="679"/>
    </row>
    <row r="437" spans="3:5">
      <c r="C437" s="679"/>
      <c r="D437" s="679"/>
      <c r="E437" s="679"/>
    </row>
    <row r="438" spans="3:5">
      <c r="C438" s="679"/>
      <c r="D438" s="679"/>
      <c r="E438" s="679"/>
    </row>
    <row r="439" spans="3:5">
      <c r="C439" s="679"/>
      <c r="D439" s="679"/>
      <c r="E439" s="679"/>
    </row>
    <row r="440" spans="3:5">
      <c r="C440" s="679"/>
      <c r="D440" s="679"/>
      <c r="E440" s="679"/>
    </row>
    <row r="441" spans="3:5">
      <c r="C441" s="679"/>
      <c r="D441" s="679"/>
      <c r="E441" s="679"/>
    </row>
    <row r="442" spans="3:5">
      <c r="C442" s="679"/>
      <c r="D442" s="679"/>
      <c r="E442" s="679"/>
    </row>
    <row r="443" spans="3:5">
      <c r="C443" s="679"/>
      <c r="D443" s="679"/>
      <c r="E443" s="679"/>
    </row>
    <row r="444" spans="3:5">
      <c r="C444" s="679"/>
      <c r="D444" s="679"/>
      <c r="E444" s="679"/>
    </row>
    <row r="445" spans="3:5">
      <c r="C445" s="679"/>
      <c r="D445" s="679"/>
      <c r="E445" s="679"/>
    </row>
    <row r="446" spans="3:5">
      <c r="C446" s="679"/>
      <c r="D446" s="679"/>
      <c r="E446" s="679"/>
    </row>
    <row r="447" spans="3:5">
      <c r="C447" s="679"/>
      <c r="D447" s="679"/>
      <c r="E447" s="679"/>
    </row>
    <row r="448" spans="3:5">
      <c r="C448" s="679"/>
      <c r="D448" s="679"/>
      <c r="E448" s="679"/>
    </row>
    <row r="449" spans="3:5">
      <c r="C449" s="679"/>
      <c r="D449" s="679"/>
      <c r="E449" s="679"/>
    </row>
    <row r="450" spans="3:5">
      <c r="C450" s="679"/>
      <c r="D450" s="679"/>
      <c r="E450" s="679"/>
    </row>
    <row r="451" spans="3:5">
      <c r="C451" s="679"/>
      <c r="D451" s="679"/>
      <c r="E451" s="679"/>
    </row>
    <row r="452" spans="3:5">
      <c r="C452" s="679"/>
      <c r="D452" s="679"/>
      <c r="E452" s="679"/>
    </row>
    <row r="453" spans="3:5">
      <c r="C453" s="679"/>
      <c r="D453" s="679"/>
      <c r="E453" s="679"/>
    </row>
    <row r="454" spans="3:5">
      <c r="C454" s="679"/>
      <c r="D454" s="679"/>
      <c r="E454" s="679"/>
    </row>
    <row r="455" spans="3:5">
      <c r="C455" s="679"/>
      <c r="D455" s="679"/>
      <c r="E455" s="679"/>
    </row>
    <row r="456" spans="3:5">
      <c r="C456" s="679"/>
      <c r="D456" s="679"/>
      <c r="E456" s="679"/>
    </row>
    <row r="457" spans="3:5">
      <c r="C457" s="679"/>
      <c r="D457" s="679"/>
      <c r="E457" s="679"/>
    </row>
    <row r="458" spans="3:5">
      <c r="C458" s="679"/>
      <c r="D458" s="679"/>
      <c r="E458" s="679"/>
    </row>
    <row r="459" spans="3:5">
      <c r="C459" s="679"/>
      <c r="D459" s="679"/>
      <c r="E459" s="679"/>
    </row>
    <row r="460" spans="3:5">
      <c r="C460" s="679"/>
      <c r="D460" s="679"/>
      <c r="E460" s="679"/>
    </row>
    <row r="461" spans="3:5">
      <c r="C461" s="679"/>
      <c r="D461" s="679"/>
      <c r="E461" s="679"/>
    </row>
    <row r="462" spans="3:5">
      <c r="C462" s="679"/>
      <c r="D462" s="679"/>
      <c r="E462" s="679"/>
    </row>
    <row r="463" spans="3:5">
      <c r="C463" s="679"/>
      <c r="D463" s="679"/>
      <c r="E463" s="679"/>
    </row>
    <row r="464" spans="3:5">
      <c r="C464" s="679"/>
      <c r="D464" s="679"/>
      <c r="E464" s="679"/>
    </row>
    <row r="465" spans="3:5">
      <c r="C465" s="679"/>
      <c r="D465" s="679"/>
      <c r="E465" s="679"/>
    </row>
    <row r="466" spans="3:5">
      <c r="C466" s="679"/>
      <c r="D466" s="679"/>
      <c r="E466" s="679"/>
    </row>
    <row r="467" spans="3:5">
      <c r="C467" s="679"/>
      <c r="D467" s="679"/>
      <c r="E467" s="679"/>
    </row>
    <row r="468" spans="3:5">
      <c r="C468" s="679"/>
      <c r="D468" s="679"/>
      <c r="E468" s="679"/>
    </row>
    <row r="469" spans="3:5">
      <c r="C469" s="679"/>
      <c r="D469" s="679"/>
      <c r="E469" s="679"/>
    </row>
    <row r="470" spans="3:5">
      <c r="C470" s="679"/>
      <c r="D470" s="679"/>
      <c r="E470" s="679"/>
    </row>
    <row r="471" spans="3:5">
      <c r="C471" s="679"/>
      <c r="D471" s="679"/>
      <c r="E471" s="679"/>
    </row>
    <row r="472" spans="3:5">
      <c r="C472" s="679"/>
      <c r="D472" s="679"/>
      <c r="E472" s="679"/>
    </row>
    <row r="473" spans="3:5">
      <c r="C473" s="679"/>
      <c r="D473" s="679"/>
      <c r="E473" s="679"/>
    </row>
    <row r="474" spans="3:5">
      <c r="C474" s="679"/>
      <c r="D474" s="679"/>
      <c r="E474" s="679"/>
    </row>
    <row r="475" spans="3:5">
      <c r="C475" s="679"/>
      <c r="D475" s="679"/>
      <c r="E475" s="679"/>
    </row>
    <row r="476" spans="3:5">
      <c r="C476" s="679"/>
      <c r="D476" s="679"/>
      <c r="E476" s="679"/>
    </row>
    <row r="477" spans="3:5">
      <c r="C477" s="679"/>
      <c r="D477" s="679"/>
      <c r="E477" s="679"/>
    </row>
    <row r="478" spans="3:5">
      <c r="C478" s="679"/>
      <c r="D478" s="679"/>
      <c r="E478" s="679"/>
    </row>
    <row r="479" spans="3:5">
      <c r="C479" s="679"/>
      <c r="D479" s="679"/>
      <c r="E479" s="679"/>
    </row>
    <row r="480" spans="3:5">
      <c r="C480" s="679"/>
      <c r="D480" s="679"/>
      <c r="E480" s="679"/>
    </row>
    <row r="481" spans="3:5">
      <c r="C481" s="679"/>
      <c r="D481" s="679"/>
      <c r="E481" s="679"/>
    </row>
    <row r="482" spans="3:5">
      <c r="C482" s="679"/>
      <c r="D482" s="679"/>
      <c r="E482" s="679"/>
    </row>
    <row r="483" spans="3:5">
      <c r="C483" s="679"/>
      <c r="D483" s="679"/>
      <c r="E483" s="679"/>
    </row>
    <row r="484" spans="3:5">
      <c r="C484" s="679"/>
      <c r="D484" s="679"/>
      <c r="E484" s="679"/>
    </row>
    <row r="485" spans="3:5">
      <c r="C485" s="679"/>
      <c r="D485" s="679"/>
      <c r="E485" s="679"/>
    </row>
    <row r="486" spans="3:5">
      <c r="C486" s="679"/>
      <c r="D486" s="679"/>
      <c r="E486" s="679"/>
    </row>
    <row r="487" spans="3:5">
      <c r="C487" s="679"/>
      <c r="D487" s="679"/>
      <c r="E487" s="679"/>
    </row>
    <row r="488" spans="3:5">
      <c r="C488" s="679"/>
      <c r="D488" s="679"/>
      <c r="E488" s="679"/>
    </row>
    <row r="489" spans="3:5">
      <c r="C489" s="679"/>
      <c r="D489" s="679"/>
      <c r="E489" s="679"/>
    </row>
    <row r="490" spans="3:5">
      <c r="C490" s="679"/>
      <c r="D490" s="679"/>
      <c r="E490" s="679"/>
    </row>
    <row r="491" spans="3:5">
      <c r="C491" s="679"/>
      <c r="D491" s="679"/>
      <c r="E491" s="679"/>
    </row>
    <row r="492" spans="3:5">
      <c r="C492" s="679"/>
      <c r="D492" s="679"/>
      <c r="E492" s="679"/>
    </row>
    <row r="493" spans="3:5">
      <c r="C493" s="679"/>
      <c r="D493" s="679"/>
      <c r="E493" s="679"/>
    </row>
    <row r="494" spans="3:5">
      <c r="C494" s="679"/>
      <c r="D494" s="679"/>
      <c r="E494" s="679"/>
    </row>
    <row r="495" spans="3:5">
      <c r="C495" s="679"/>
      <c r="D495" s="679"/>
      <c r="E495" s="679"/>
    </row>
    <row r="496" spans="3:5">
      <c r="C496" s="679"/>
      <c r="D496" s="679"/>
      <c r="E496" s="679"/>
    </row>
    <row r="497" spans="3:5">
      <c r="C497" s="679"/>
      <c r="D497" s="679"/>
      <c r="E497" s="679"/>
    </row>
    <row r="498" spans="3:5">
      <c r="C498" s="679"/>
      <c r="D498" s="679"/>
      <c r="E498" s="679"/>
    </row>
    <row r="499" spans="3:5">
      <c r="C499" s="679"/>
      <c r="D499" s="679"/>
      <c r="E499" s="679"/>
    </row>
    <row r="500" spans="3:5">
      <c r="C500" s="679"/>
      <c r="D500" s="679"/>
      <c r="E500" s="679"/>
    </row>
    <row r="501" spans="3:5">
      <c r="C501" s="679"/>
      <c r="D501" s="679"/>
      <c r="E501" s="679"/>
    </row>
    <row r="502" spans="3:5">
      <c r="C502" s="679"/>
      <c r="D502" s="679"/>
      <c r="E502" s="679"/>
    </row>
    <row r="503" spans="3:5">
      <c r="C503" s="679"/>
      <c r="D503" s="679"/>
      <c r="E503" s="679"/>
    </row>
    <row r="504" spans="3:5">
      <c r="C504" s="679"/>
      <c r="D504" s="679"/>
      <c r="E504" s="679"/>
    </row>
    <row r="505" spans="3:5">
      <c r="C505" s="679"/>
      <c r="D505" s="679"/>
      <c r="E505" s="679"/>
    </row>
    <row r="506" spans="3:5">
      <c r="C506" s="679"/>
      <c r="D506" s="679"/>
      <c r="E506" s="679"/>
    </row>
  </sheetData>
  <mergeCells count="3">
    <mergeCell ref="A2:E2"/>
    <mergeCell ref="A4:E4"/>
    <mergeCell ref="A5:E5"/>
  </mergeCells>
  <printOptions horizontalCentered="1"/>
  <pageMargins left="0.39370078740157483" right="0.39370078740157483" top="0.59055118110236227" bottom="0.19685039370078741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Feuil3">
    <tabColor rgb="FFFFFF66"/>
  </sheetPr>
  <dimension ref="A1:BO39"/>
  <sheetViews>
    <sheetView showZeros="0" zoomScale="86" zoomScaleNormal="86" workbookViewId="0">
      <selection activeCell="L18" sqref="L18"/>
    </sheetView>
  </sheetViews>
  <sheetFormatPr baseColWidth="10" defaultColWidth="11.44140625" defaultRowHeight="13.2"/>
  <cols>
    <col min="1" max="1" width="75.88671875" style="1134" customWidth="1"/>
    <col min="2" max="6" width="14.109375" style="1131" customWidth="1"/>
    <col min="7" max="7" width="14.109375" style="1132" customWidth="1"/>
    <col min="8" max="8" width="14.109375" style="1133" customWidth="1"/>
    <col min="9" max="9" width="20.33203125" style="1133" customWidth="1"/>
    <col min="10" max="16384" width="11.44140625" style="1134"/>
  </cols>
  <sheetData>
    <row r="1" spans="1:67" s="1114" customFormat="1" ht="24" customHeight="1">
      <c r="A1" s="1112" t="str">
        <f>'fiche technique'!A16</f>
        <v xml:space="preserve">Bilan de la campagne 2014 de recrutement et d'affectation des maîtres de conférences et des professeurs des universités </v>
      </c>
      <c r="B1" s="1112"/>
      <c r="C1" s="1112"/>
      <c r="D1" s="1112"/>
      <c r="E1" s="1112"/>
      <c r="F1" s="1112"/>
      <c r="G1" s="1112"/>
      <c r="H1" s="1112"/>
      <c r="I1" s="1113"/>
    </row>
    <row r="2" spans="1:67" s="1114" customFormat="1" ht="15" customHeight="1">
      <c r="A2" s="1017"/>
      <c r="B2" s="1017"/>
      <c r="C2" s="1017"/>
      <c r="D2" s="1017"/>
      <c r="E2" s="1017"/>
      <c r="F2" s="1017"/>
      <c r="G2" s="1017"/>
      <c r="H2" s="1017"/>
      <c r="I2" s="1113"/>
    </row>
    <row r="3" spans="1:67" s="1114" customFormat="1" ht="18.75" customHeight="1">
      <c r="A3" s="2015" t="s">
        <v>535</v>
      </c>
      <c r="B3" s="2015"/>
      <c r="C3" s="2015"/>
      <c r="D3" s="2015"/>
      <c r="E3" s="2015"/>
      <c r="F3" s="2015"/>
      <c r="G3" s="2015"/>
      <c r="H3" s="2015"/>
      <c r="I3" s="1113"/>
    </row>
    <row r="4" spans="1:67" s="1116" customFormat="1" ht="18.75" customHeight="1">
      <c r="A4" s="2016" t="s">
        <v>971</v>
      </c>
      <c r="B4" s="2017"/>
      <c r="C4" s="2017"/>
      <c r="D4" s="2017"/>
      <c r="E4" s="2017"/>
      <c r="F4" s="2017"/>
      <c r="G4" s="2017"/>
      <c r="H4" s="2017"/>
      <c r="I4" s="1115"/>
    </row>
    <row r="5" spans="1:67" s="1118" customFormat="1" ht="15" customHeight="1">
      <c r="A5" s="1018"/>
      <c r="B5" s="1019"/>
      <c r="C5" s="1019"/>
      <c r="D5" s="1019"/>
      <c r="E5" s="1019"/>
      <c r="F5" s="1019"/>
      <c r="G5" s="1019"/>
      <c r="H5" s="1020"/>
      <c r="I5" s="1117"/>
    </row>
    <row r="6" spans="1:67" s="1119" customFormat="1" ht="15" customHeight="1" thickBot="1">
      <c r="A6" s="1021"/>
      <c r="B6" s="1022"/>
      <c r="C6" s="1023"/>
      <c r="D6" s="1023"/>
      <c r="E6" s="1023"/>
      <c r="F6" s="1023"/>
      <c r="G6" s="1024"/>
      <c r="H6" s="1025"/>
      <c r="I6" s="1120"/>
    </row>
    <row r="7" spans="1:67" s="1114" customFormat="1" ht="66" customHeight="1">
      <c r="A7" s="1016"/>
      <c r="B7" s="2020" t="s">
        <v>1</v>
      </c>
      <c r="C7" s="2022" t="s">
        <v>2</v>
      </c>
      <c r="D7" s="2024" t="s">
        <v>3</v>
      </c>
      <c r="E7" s="2026" t="s">
        <v>329</v>
      </c>
      <c r="F7" s="2020" t="s">
        <v>158</v>
      </c>
      <c r="G7" s="2018" t="s">
        <v>157</v>
      </c>
      <c r="H7" s="2019"/>
      <c r="I7" s="1121"/>
    </row>
    <row r="8" spans="1:67" s="1123" customFormat="1" ht="66" customHeight="1" thickBot="1">
      <c r="A8" s="1026"/>
      <c r="B8" s="2021"/>
      <c r="C8" s="2023"/>
      <c r="D8" s="2025"/>
      <c r="E8" s="2027"/>
      <c r="F8" s="2021"/>
      <c r="G8" s="1027" t="s">
        <v>159</v>
      </c>
      <c r="H8" s="1028" t="s">
        <v>218</v>
      </c>
      <c r="I8" s="1122"/>
    </row>
    <row r="9" spans="1:67" s="1116" customFormat="1" ht="24" customHeight="1">
      <c r="A9" s="1029" t="s">
        <v>143</v>
      </c>
      <c r="B9" s="1030"/>
      <c r="C9" s="1031"/>
      <c r="D9" s="1032"/>
      <c r="E9" s="1033"/>
      <c r="F9" s="1034"/>
      <c r="G9" s="1031"/>
      <c r="H9" s="1035"/>
      <c r="I9" s="1124"/>
    </row>
    <row r="10" spans="1:67" s="1116" customFormat="1" ht="24" customHeight="1">
      <c r="A10" s="1135" t="s">
        <v>133</v>
      </c>
      <c r="B10" s="1037">
        <v>1279</v>
      </c>
      <c r="C10" s="1038">
        <v>118</v>
      </c>
      <c r="D10" s="1039">
        <v>4</v>
      </c>
      <c r="E10" s="1040">
        <v>1117</v>
      </c>
      <c r="F10" s="1041">
        <f>B10-(C10+D10+E10)</f>
        <v>40</v>
      </c>
      <c r="G10" s="1038">
        <f>C10+D10+E10</f>
        <v>1239</v>
      </c>
      <c r="H10" s="1042">
        <f>G10/B10</f>
        <v>0.96872556684910083</v>
      </c>
      <c r="I10" s="1125"/>
      <c r="J10" s="1129"/>
      <c r="K10" s="1123"/>
      <c r="L10" s="1123"/>
      <c r="M10" s="1123"/>
      <c r="N10" s="1123"/>
      <c r="O10" s="1123"/>
      <c r="P10" s="1123"/>
      <c r="Q10" s="1123"/>
      <c r="R10" s="1123"/>
      <c r="S10" s="1123"/>
      <c r="T10" s="1123"/>
      <c r="U10" s="1123"/>
      <c r="V10" s="1123"/>
      <c r="W10" s="1123"/>
      <c r="X10" s="1123"/>
      <c r="Y10" s="1123"/>
      <c r="Z10" s="1123"/>
      <c r="AA10" s="1123"/>
      <c r="AB10" s="1123"/>
      <c r="AC10" s="1123"/>
      <c r="AD10" s="1123"/>
      <c r="AE10" s="1123"/>
      <c r="AF10" s="1123"/>
      <c r="AG10" s="1123"/>
      <c r="AH10" s="1123"/>
      <c r="AI10" s="1123"/>
      <c r="AJ10" s="1123"/>
      <c r="AK10" s="1123"/>
      <c r="AL10" s="1123"/>
      <c r="AM10" s="1123"/>
      <c r="AN10" s="1123"/>
      <c r="AO10" s="1123"/>
      <c r="AP10" s="1123"/>
      <c r="AQ10" s="1123"/>
      <c r="AR10" s="1123"/>
      <c r="AS10" s="1123"/>
      <c r="AT10" s="1123"/>
      <c r="AU10" s="1123"/>
      <c r="AV10" s="1123"/>
      <c r="AW10" s="1123"/>
      <c r="AX10" s="1123"/>
      <c r="AY10" s="1123"/>
      <c r="AZ10" s="1123"/>
      <c r="BA10" s="1123"/>
      <c r="BB10" s="1123"/>
      <c r="BC10" s="1123"/>
      <c r="BD10" s="1123"/>
      <c r="BE10" s="1123"/>
      <c r="BF10" s="1123"/>
      <c r="BG10" s="1123"/>
      <c r="BH10" s="1123"/>
      <c r="BI10" s="1123"/>
      <c r="BJ10" s="1123"/>
      <c r="BK10" s="1123"/>
      <c r="BL10" s="1123"/>
      <c r="BM10" s="1123"/>
      <c r="BN10" s="1123"/>
      <c r="BO10" s="1123"/>
    </row>
    <row r="11" spans="1:67" s="1116" customFormat="1" ht="24" customHeight="1">
      <c r="A11" s="1135" t="s">
        <v>134</v>
      </c>
      <c r="B11" s="1037">
        <v>11</v>
      </c>
      <c r="C11" s="1038"/>
      <c r="D11" s="1039"/>
      <c r="E11" s="1040">
        <v>11</v>
      </c>
      <c r="F11" s="1041"/>
      <c r="G11" s="1038">
        <v>11</v>
      </c>
      <c r="H11" s="1050">
        <f>G11/B11</f>
        <v>1</v>
      </c>
      <c r="I11" s="1125"/>
      <c r="J11" s="1129"/>
      <c r="K11" s="1123"/>
      <c r="L11" s="1123"/>
      <c r="M11" s="1123"/>
      <c r="N11" s="1123"/>
      <c r="O11" s="1123"/>
      <c r="P11" s="1123"/>
      <c r="Q11" s="1123"/>
      <c r="R11" s="1123"/>
      <c r="S11" s="1123"/>
      <c r="T11" s="1123"/>
      <c r="U11" s="1123"/>
      <c r="V11" s="1123"/>
      <c r="W11" s="1123"/>
      <c r="X11" s="1123"/>
      <c r="Y11" s="1123"/>
      <c r="Z11" s="1123"/>
      <c r="AA11" s="1123"/>
      <c r="AB11" s="1123"/>
      <c r="AC11" s="1123"/>
      <c r="AD11" s="1123"/>
      <c r="AE11" s="1123"/>
      <c r="AF11" s="1123"/>
      <c r="AG11" s="1123"/>
      <c r="AH11" s="1123"/>
      <c r="AI11" s="1123"/>
      <c r="AJ11" s="1123"/>
      <c r="AK11" s="1123"/>
      <c r="AL11" s="1123"/>
      <c r="AM11" s="1123"/>
      <c r="AN11" s="1123"/>
      <c r="AO11" s="1123"/>
      <c r="AP11" s="1123"/>
      <c r="AQ11" s="1123"/>
      <c r="AR11" s="1123"/>
      <c r="AS11" s="1123"/>
      <c r="AT11" s="1123"/>
      <c r="AU11" s="1123"/>
      <c r="AV11" s="1123"/>
      <c r="AW11" s="1123"/>
      <c r="AX11" s="1123"/>
      <c r="AY11" s="1123"/>
      <c r="AZ11" s="1123"/>
      <c r="BA11" s="1123"/>
      <c r="BB11" s="1123"/>
      <c r="BC11" s="1123"/>
      <c r="BD11" s="1123"/>
      <c r="BE11" s="1123"/>
      <c r="BF11" s="1123"/>
      <c r="BG11" s="1123"/>
      <c r="BH11" s="1123"/>
      <c r="BI11" s="1123"/>
      <c r="BJ11" s="1123"/>
      <c r="BK11" s="1123"/>
      <c r="BL11" s="1123"/>
      <c r="BM11" s="1123"/>
      <c r="BN11" s="1123"/>
      <c r="BO11" s="1123"/>
    </row>
    <row r="12" spans="1:67" s="1116" customFormat="1" ht="36.75" customHeight="1">
      <c r="A12" s="1766" t="s">
        <v>944</v>
      </c>
      <c r="B12" s="1044">
        <v>1</v>
      </c>
      <c r="C12" s="1045"/>
      <c r="D12" s="1046"/>
      <c r="E12" s="1047">
        <v>1</v>
      </c>
      <c r="F12" s="1048">
        <f>B12-G12</f>
        <v>0</v>
      </c>
      <c r="G12" s="1049">
        <f>C12+D12+E12</f>
        <v>1</v>
      </c>
      <c r="H12" s="1050">
        <f>G12/B12</f>
        <v>1</v>
      </c>
      <c r="I12" s="1126"/>
      <c r="J12" s="1129"/>
      <c r="K12" s="1123"/>
      <c r="L12" s="1123"/>
      <c r="M12" s="1123"/>
      <c r="N12" s="1123"/>
      <c r="O12" s="1123"/>
      <c r="P12" s="1123"/>
      <c r="Q12" s="1123"/>
      <c r="R12" s="1123"/>
      <c r="S12" s="1123"/>
      <c r="T12" s="1123"/>
      <c r="U12" s="1123"/>
      <c r="V12" s="1123"/>
      <c r="W12" s="1123"/>
      <c r="X12" s="1123"/>
      <c r="Y12" s="1123"/>
      <c r="Z12" s="1123"/>
      <c r="AA12" s="1123"/>
      <c r="AB12" s="1123"/>
      <c r="AC12" s="1123"/>
      <c r="AD12" s="1123"/>
      <c r="AE12" s="1123"/>
      <c r="AF12" s="1123"/>
      <c r="AG12" s="1123"/>
      <c r="AH12" s="1123"/>
      <c r="AI12" s="1123"/>
      <c r="AJ12" s="1123"/>
      <c r="AK12" s="1123"/>
      <c r="AL12" s="1123"/>
      <c r="AM12" s="1123"/>
      <c r="AN12" s="1123"/>
      <c r="AO12" s="1123"/>
      <c r="AP12" s="1123"/>
      <c r="AQ12" s="1123"/>
      <c r="AR12" s="1123"/>
      <c r="AS12" s="1123"/>
      <c r="AT12" s="1123"/>
      <c r="AU12" s="1123"/>
      <c r="AV12" s="1123"/>
      <c r="AW12" s="1123"/>
      <c r="AX12" s="1123"/>
      <c r="AY12" s="1123"/>
      <c r="AZ12" s="1123"/>
      <c r="BA12" s="1123"/>
      <c r="BB12" s="1123"/>
      <c r="BC12" s="1123"/>
      <c r="BD12" s="1123"/>
      <c r="BE12" s="1123"/>
      <c r="BF12" s="1123"/>
      <c r="BG12" s="1123"/>
      <c r="BH12" s="1123"/>
      <c r="BI12" s="1123"/>
      <c r="BJ12" s="1123"/>
      <c r="BK12" s="1123"/>
      <c r="BL12" s="1123"/>
      <c r="BM12" s="1123"/>
      <c r="BN12" s="1123"/>
      <c r="BO12" s="1123"/>
    </row>
    <row r="13" spans="1:67" s="1128" customFormat="1" ht="26.25" customHeight="1">
      <c r="A13" s="1051" t="s">
        <v>161</v>
      </c>
      <c r="B13" s="1052">
        <f t="shared" ref="B13:G13" si="0">SUM(B10:B12)</f>
        <v>1291</v>
      </c>
      <c r="C13" s="1053">
        <f t="shared" si="0"/>
        <v>118</v>
      </c>
      <c r="D13" s="1054">
        <f t="shared" si="0"/>
        <v>4</v>
      </c>
      <c r="E13" s="1055">
        <f t="shared" si="0"/>
        <v>1129</v>
      </c>
      <c r="F13" s="1056">
        <f t="shared" si="0"/>
        <v>40</v>
      </c>
      <c r="G13" s="1053">
        <f t="shared" si="0"/>
        <v>1251</v>
      </c>
      <c r="H13" s="1057">
        <f>G13/B13</f>
        <v>0.96901626646010841</v>
      </c>
      <c r="I13" s="1127"/>
      <c r="K13" s="1535">
        <f>E13+D13+E18+D18</f>
        <v>1682</v>
      </c>
      <c r="M13" s="1128">
        <f>1132</f>
        <v>1132</v>
      </c>
    </row>
    <row r="14" spans="1:67" s="1116" customFormat="1" ht="24" customHeight="1">
      <c r="A14" s="1058" t="s">
        <v>162</v>
      </c>
      <c r="B14" s="1059"/>
      <c r="C14" s="1060"/>
      <c r="D14" s="1061"/>
      <c r="E14" s="1062"/>
      <c r="F14" s="1063"/>
      <c r="G14" s="1060"/>
      <c r="H14" s="1064"/>
      <c r="I14" s="1125"/>
      <c r="J14" s="1123"/>
      <c r="K14" s="1123"/>
      <c r="L14" s="1123"/>
      <c r="M14" s="1123"/>
      <c r="N14" s="1123"/>
      <c r="O14" s="1123"/>
      <c r="P14" s="1129"/>
      <c r="Q14" s="1123"/>
      <c r="R14" s="1123"/>
      <c r="S14" s="1123"/>
      <c r="T14" s="1123"/>
      <c r="U14" s="1123"/>
      <c r="V14" s="1123"/>
      <c r="W14" s="1123"/>
      <c r="X14" s="1123"/>
      <c r="Y14" s="1123"/>
      <c r="Z14" s="1123"/>
      <c r="AA14" s="1123"/>
      <c r="AB14" s="1123"/>
      <c r="AC14" s="1123"/>
      <c r="AD14" s="1123"/>
      <c r="AE14" s="1123"/>
      <c r="AF14" s="1123"/>
      <c r="AG14" s="1123"/>
      <c r="AH14" s="1123"/>
      <c r="AI14" s="1123"/>
      <c r="AJ14" s="1123"/>
      <c r="AK14" s="1123"/>
      <c r="AL14" s="1123"/>
      <c r="AM14" s="1123"/>
      <c r="AN14" s="1123"/>
      <c r="AO14" s="1123"/>
      <c r="AP14" s="1123"/>
      <c r="AQ14" s="1123"/>
      <c r="AR14" s="1123"/>
      <c r="AS14" s="1123"/>
      <c r="AT14" s="1123"/>
      <c r="AU14" s="1123"/>
      <c r="AV14" s="1123"/>
      <c r="AW14" s="1123"/>
      <c r="AX14" s="1123"/>
      <c r="AY14" s="1123"/>
      <c r="AZ14" s="1123"/>
      <c r="BA14" s="1123"/>
      <c r="BB14" s="1123"/>
      <c r="BC14" s="1123"/>
      <c r="BD14" s="1123"/>
      <c r="BE14" s="1123"/>
      <c r="BF14" s="1123"/>
      <c r="BG14" s="1123"/>
      <c r="BH14" s="1123"/>
      <c r="BI14" s="1123"/>
      <c r="BJ14" s="1123"/>
      <c r="BK14" s="1123"/>
      <c r="BL14" s="1123"/>
      <c r="BM14" s="1123"/>
      <c r="BN14" s="1123"/>
      <c r="BO14" s="1123"/>
    </row>
    <row r="15" spans="1:67" s="1116" customFormat="1" ht="24" customHeight="1">
      <c r="A15" s="1036" t="s">
        <v>978</v>
      </c>
      <c r="B15" s="1037">
        <v>600</v>
      </c>
      <c r="C15" s="1038">
        <v>49</v>
      </c>
      <c r="D15" s="1039">
        <v>2</v>
      </c>
      <c r="E15" s="1040">
        <v>501</v>
      </c>
      <c r="F15" s="1041">
        <f>B15-G15</f>
        <v>48</v>
      </c>
      <c r="G15" s="1038">
        <f>C15+D15+E15</f>
        <v>552</v>
      </c>
      <c r="H15" s="1042">
        <f>G15/B15</f>
        <v>0.92</v>
      </c>
      <c r="I15" s="1125"/>
      <c r="J15" s="1208"/>
    </row>
    <row r="16" spans="1:67" s="1116" customFormat="1" ht="36.75" customHeight="1">
      <c r="A16" s="1065" t="s">
        <v>981</v>
      </c>
      <c r="B16" s="1066">
        <v>46</v>
      </c>
      <c r="C16" s="1067"/>
      <c r="D16" s="1068"/>
      <c r="E16" s="1069">
        <v>42</v>
      </c>
      <c r="F16" s="1041">
        <f>B16-G16</f>
        <v>4</v>
      </c>
      <c r="G16" s="1038">
        <f>C16+D16+E16</f>
        <v>42</v>
      </c>
      <c r="H16" s="1042">
        <f>G16/B16</f>
        <v>0.91304347826086951</v>
      </c>
      <c r="I16" s="1126"/>
      <c r="J16" s="1208"/>
    </row>
    <row r="17" spans="1:14" s="1116" customFormat="1" ht="33.75" customHeight="1">
      <c r="A17" s="1070" t="s">
        <v>980</v>
      </c>
      <c r="B17" s="1059">
        <v>5</v>
      </c>
      <c r="C17" s="1071"/>
      <c r="D17" s="1072"/>
      <c r="E17" s="1062">
        <v>4</v>
      </c>
      <c r="F17" s="1073">
        <f>B17-G17</f>
        <v>1</v>
      </c>
      <c r="G17" s="1038">
        <f>C17+D17+E17</f>
        <v>4</v>
      </c>
      <c r="H17" s="1050">
        <f>G17/B17</f>
        <v>0.8</v>
      </c>
      <c r="I17" s="1125"/>
    </row>
    <row r="18" spans="1:14" s="1116" customFormat="1" ht="24" customHeight="1">
      <c r="A18" s="1075" t="s">
        <v>111</v>
      </c>
      <c r="B18" s="1044">
        <f t="shared" ref="B18:G18" si="1">SUM(B15:B17)</f>
        <v>651</v>
      </c>
      <c r="C18" s="1049">
        <f>SUM(C15:C17)</f>
        <v>49</v>
      </c>
      <c r="D18" s="1076">
        <f t="shared" si="1"/>
        <v>2</v>
      </c>
      <c r="E18" s="1047">
        <f>SUM(E15:E17)</f>
        <v>547</v>
      </c>
      <c r="F18" s="1048">
        <f t="shared" si="1"/>
        <v>53</v>
      </c>
      <c r="G18" s="1049">
        <f t="shared" si="1"/>
        <v>598</v>
      </c>
      <c r="H18" s="1042">
        <f>G18/B18</f>
        <v>0.91858678955453144</v>
      </c>
      <c r="I18" s="1125"/>
    </row>
    <row r="19" spans="1:14" s="1116" customFormat="1" ht="24" customHeight="1">
      <c r="A19" s="1077" t="s">
        <v>533</v>
      </c>
      <c r="B19" s="1078"/>
      <c r="C19" s="1079"/>
      <c r="D19" s="1080"/>
      <c r="E19" s="1081"/>
      <c r="F19" s="1082"/>
      <c r="G19" s="1079"/>
      <c r="H19" s="1074"/>
      <c r="I19" s="1125"/>
    </row>
    <row r="20" spans="1:14" s="1116" customFormat="1" ht="24" customHeight="1">
      <c r="A20" s="1065" t="s">
        <v>160</v>
      </c>
      <c r="B20" s="1066">
        <v>109</v>
      </c>
      <c r="C20" s="1083">
        <v>82</v>
      </c>
      <c r="D20" s="1084">
        <v>2</v>
      </c>
      <c r="E20" s="1085"/>
      <c r="F20" s="1041">
        <f>B20-G20</f>
        <v>25</v>
      </c>
      <c r="G20" s="1083">
        <f>C20+D20+E20</f>
        <v>84</v>
      </c>
      <c r="H20" s="1042">
        <f>G20/B20</f>
        <v>0.77064220183486243</v>
      </c>
      <c r="I20" s="1125"/>
      <c r="N20" s="1116">
        <f>2120-69</f>
        <v>2051</v>
      </c>
    </row>
    <row r="21" spans="1:14" s="1116" customFormat="1" ht="24" customHeight="1">
      <c r="A21" s="1043" t="s">
        <v>927</v>
      </c>
      <c r="B21" s="1066">
        <v>52</v>
      </c>
      <c r="C21" s="1067"/>
      <c r="D21" s="1068"/>
      <c r="E21" s="1086">
        <v>52</v>
      </c>
      <c r="F21" s="1041">
        <f>B21-G21</f>
        <v>0</v>
      </c>
      <c r="G21" s="1083">
        <f>C21+D21+E21</f>
        <v>52</v>
      </c>
      <c r="H21" s="1050">
        <f>G21/B21</f>
        <v>1</v>
      </c>
      <c r="I21" s="1126"/>
    </row>
    <row r="22" spans="1:14" s="1116" customFormat="1" ht="24" customHeight="1">
      <c r="A22" s="1087" t="s">
        <v>538</v>
      </c>
      <c r="B22" s="1088">
        <v>17</v>
      </c>
      <c r="C22" s="1089"/>
      <c r="D22" s="1090"/>
      <c r="E22" s="1091">
        <v>17</v>
      </c>
      <c r="F22" s="1092">
        <f>B22-G22</f>
        <v>0</v>
      </c>
      <c r="G22" s="1083">
        <f>C22+D22+E22</f>
        <v>17</v>
      </c>
      <c r="H22" s="1050">
        <f>G22/B22</f>
        <v>1</v>
      </c>
      <c r="I22" s="1126"/>
    </row>
    <row r="23" spans="1:14" s="1116" customFormat="1" ht="24" customHeight="1">
      <c r="A23" s="1075" t="s">
        <v>112</v>
      </c>
      <c r="B23" s="1093">
        <f t="shared" ref="B23:G23" si="2">SUM(B20:B22)</f>
        <v>178</v>
      </c>
      <c r="C23" s="1094">
        <f t="shared" si="2"/>
        <v>82</v>
      </c>
      <c r="D23" s="1095">
        <f t="shared" si="2"/>
        <v>2</v>
      </c>
      <c r="E23" s="1086">
        <f t="shared" si="2"/>
        <v>69</v>
      </c>
      <c r="F23" s="1096">
        <f t="shared" si="2"/>
        <v>25</v>
      </c>
      <c r="G23" s="1094">
        <f t="shared" si="2"/>
        <v>153</v>
      </c>
      <c r="H23" s="1050">
        <f>G23/B23</f>
        <v>0.8595505617977528</v>
      </c>
      <c r="I23" s="1125"/>
    </row>
    <row r="24" spans="1:14" s="1116" customFormat="1" ht="24" customHeight="1">
      <c r="A24" s="1097" t="s">
        <v>163</v>
      </c>
      <c r="B24" s="1098">
        <f t="shared" ref="B24:G24" si="3">B23+B18</f>
        <v>829</v>
      </c>
      <c r="C24" s="1099">
        <f t="shared" si="3"/>
        <v>131</v>
      </c>
      <c r="D24" s="1100">
        <f t="shared" si="3"/>
        <v>4</v>
      </c>
      <c r="E24" s="1101">
        <f t="shared" si="3"/>
        <v>616</v>
      </c>
      <c r="F24" s="1102">
        <f t="shared" si="3"/>
        <v>78</v>
      </c>
      <c r="G24" s="1099">
        <f t="shared" si="3"/>
        <v>751</v>
      </c>
      <c r="H24" s="1057">
        <f>G24/B24</f>
        <v>0.90591073582629678</v>
      </c>
      <c r="I24" s="1125"/>
    </row>
    <row r="25" spans="1:14" s="1130" customFormat="1" ht="24" customHeight="1" thickBot="1">
      <c r="A25" s="1103" t="s">
        <v>113</v>
      </c>
      <c r="B25" s="1104">
        <f>B13+B24</f>
        <v>2120</v>
      </c>
      <c r="C25" s="1105">
        <f>C13+C24</f>
        <v>249</v>
      </c>
      <c r="D25" s="1106">
        <f>D13+D24</f>
        <v>8</v>
      </c>
      <c r="E25" s="1107">
        <f>E13+E24</f>
        <v>1745</v>
      </c>
      <c r="F25" s="1108">
        <f>B25-G25</f>
        <v>118</v>
      </c>
      <c r="G25" s="1105">
        <f>C25+D25+E25</f>
        <v>2002</v>
      </c>
      <c r="H25" s="1147">
        <f>G25/(B25)</f>
        <v>0.94433962264150939</v>
      </c>
      <c r="I25" s="1127"/>
      <c r="J25" s="1534"/>
    </row>
    <row r="26" spans="1:14" s="1128" customFormat="1" ht="15.75" customHeight="1">
      <c r="A26" s="516" t="str">
        <f>'fiche technique'!A9</f>
        <v>Source: GALAXIE (ANTARES-ANTEE &amp; FIDIS), DGRH A1-1 &amp; DGRH A2, juin 2014</v>
      </c>
      <c r="B26" s="1109"/>
      <c r="C26" s="1110"/>
      <c r="D26" s="1110"/>
      <c r="E26" s="1110"/>
      <c r="F26" s="1110"/>
      <c r="G26" s="1110"/>
      <c r="H26" s="1110"/>
      <c r="I26" s="1127"/>
      <c r="J26" s="1535"/>
    </row>
    <row r="27" spans="1:14" s="1119" customFormat="1" ht="15.6">
      <c r="A27" s="1022" t="s">
        <v>717</v>
      </c>
      <c r="B27" s="1023"/>
      <c r="C27" s="1023"/>
      <c r="D27" s="1023"/>
      <c r="E27" s="1023"/>
      <c r="F27" s="1023"/>
      <c r="G27" s="1111"/>
      <c r="H27" s="1025"/>
      <c r="I27" s="1120"/>
      <c r="J27" s="1136"/>
      <c r="L27" s="1136"/>
    </row>
    <row r="28" spans="1:14" ht="15.6">
      <c r="A28" s="1119"/>
    </row>
    <row r="29" spans="1:14">
      <c r="A29" s="1927"/>
      <c r="E29" s="1927"/>
      <c r="F29" s="1927"/>
    </row>
    <row r="30" spans="1:14" ht="15.6">
      <c r="A30" s="82"/>
      <c r="G30" s="1131"/>
    </row>
    <row r="31" spans="1:14">
      <c r="G31" s="1131"/>
    </row>
    <row r="39" spans="2:2">
      <c r="B39" s="1131">
        <f>B25+'TAB S-3 fil eau'!B22</f>
        <v>2358</v>
      </c>
    </row>
  </sheetData>
  <mergeCells count="8">
    <mergeCell ref="A3:H3"/>
    <mergeCell ref="A4:H4"/>
    <mergeCell ref="G7:H7"/>
    <mergeCell ref="B7:B8"/>
    <mergeCell ref="C7:C8"/>
    <mergeCell ref="D7:D8"/>
    <mergeCell ref="E7:E8"/>
    <mergeCell ref="F7:F8"/>
  </mergeCells>
  <dataValidations count="1">
    <dataValidation type="list" showInputMessage="1" showErrorMessage="1" sqref="L13:L15">
      <formula1>$L$13:$L$14</formula1>
    </dataValidation>
  </dataValidations>
  <printOptions horizontalCentered="1"/>
  <pageMargins left="0.39370078740157483" right="0.39370078740157483" top="0.59055118110236227" bottom="0.59055118110236227" header="0.31496062992125984" footer="0.31496062992125984"/>
  <pageSetup paperSize="9" scale="70" orientation="landscape" r:id="rId1"/>
  <headerFooter alignWithMargins="0">
    <oddHeader>&amp;LDGRH A1-1</oddHeader>
    <oddFooter>&amp;CPage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 codeName="Feuil34" enableFormatConditionsCalculation="0">
    <tabColor rgb="FFFFFF00"/>
  </sheetPr>
  <dimension ref="A1:K74"/>
  <sheetViews>
    <sheetView showZeros="0" workbookViewId="0">
      <selection activeCell="L18" sqref="L18"/>
    </sheetView>
  </sheetViews>
  <sheetFormatPr baseColWidth="10" defaultColWidth="11.44140625" defaultRowHeight="13.2"/>
  <cols>
    <col min="1" max="2" width="11.44140625" style="110"/>
    <col min="3" max="3" width="12.88671875" style="111" customWidth="1"/>
    <col min="4" max="6" width="8.6640625" style="111" customWidth="1"/>
    <col min="7" max="9" width="8.6640625" style="110" customWidth="1"/>
    <col min="10" max="16384" width="11.44140625" style="110"/>
  </cols>
  <sheetData>
    <row r="1" spans="1:11" ht="15" customHeight="1"/>
    <row r="2" spans="1:11" ht="24" customHeight="1">
      <c r="A2" s="2082" t="str">
        <f>'fiche technique'!A13</f>
        <v>Campagne de qualification - Année 2014</v>
      </c>
      <c r="B2" s="2082"/>
      <c r="C2" s="2082"/>
      <c r="D2" s="2082"/>
      <c r="E2" s="2082"/>
      <c r="F2" s="2082"/>
      <c r="G2" s="2082"/>
      <c r="H2" s="2082"/>
      <c r="I2" s="2082"/>
      <c r="J2" s="2082"/>
      <c r="K2" s="2082"/>
    </row>
    <row r="3" spans="1:11" ht="15" customHeight="1"/>
    <row r="4" spans="1:11" ht="20.25" customHeight="1">
      <c r="A4" s="2148" t="s">
        <v>301</v>
      </c>
      <c r="B4" s="2148"/>
      <c r="C4" s="2148"/>
      <c r="D4" s="2148"/>
      <c r="E4" s="2148"/>
      <c r="F4" s="2148"/>
      <c r="G4" s="2148"/>
      <c r="H4" s="2148"/>
      <c r="I4" s="2148"/>
      <c r="J4" s="2148"/>
      <c r="K4" s="2148"/>
    </row>
    <row r="5" spans="1:11" ht="20.25" customHeight="1">
      <c r="A5" s="2148" t="s">
        <v>1007</v>
      </c>
      <c r="B5" s="2148"/>
      <c r="C5" s="2148"/>
      <c r="D5" s="2148"/>
      <c r="E5" s="2148"/>
      <c r="F5" s="2148"/>
      <c r="G5" s="2148"/>
      <c r="H5" s="2148"/>
      <c r="I5" s="2148"/>
      <c r="J5" s="2148"/>
      <c r="K5" s="2148"/>
    </row>
    <row r="6" spans="1:11" ht="15" customHeight="1"/>
    <row r="7" spans="1:11" ht="15.75" customHeight="1" thickBot="1"/>
    <row r="8" spans="1:11" ht="13.8" thickBot="1">
      <c r="C8" s="202"/>
      <c r="D8" s="2149" t="s">
        <v>124</v>
      </c>
      <c r="E8" s="2150"/>
      <c r="F8" s="2150"/>
      <c r="G8" s="2150"/>
      <c r="H8" s="2150"/>
      <c r="I8" s="2151"/>
    </row>
    <row r="9" spans="1:11" ht="12.75" customHeight="1">
      <c r="C9" s="2152" t="s">
        <v>216</v>
      </c>
      <c r="D9" s="2154" t="s">
        <v>119</v>
      </c>
      <c r="E9" s="2155"/>
      <c r="F9" s="2156"/>
      <c r="G9" s="2157" t="s">
        <v>254</v>
      </c>
      <c r="H9" s="2158"/>
      <c r="I9" s="2159"/>
    </row>
    <row r="10" spans="1:11">
      <c r="C10" s="2153"/>
      <c r="D10" s="203" t="s">
        <v>154</v>
      </c>
      <c r="E10" s="204" t="s">
        <v>153</v>
      </c>
      <c r="F10" s="203" t="s">
        <v>155</v>
      </c>
      <c r="G10" s="204" t="s">
        <v>154</v>
      </c>
      <c r="H10" s="204" t="s">
        <v>153</v>
      </c>
      <c r="I10" s="210" t="s">
        <v>155</v>
      </c>
    </row>
    <row r="11" spans="1:11" ht="12" customHeight="1">
      <c r="C11" s="211" t="s">
        <v>9</v>
      </c>
      <c r="D11" s="1213">
        <v>1</v>
      </c>
      <c r="E11" s="1214"/>
      <c r="F11" s="1215">
        <f t="shared" ref="F11:F16" si="0">SUM(D11:E11)</f>
        <v>1</v>
      </c>
      <c r="G11" s="1214"/>
      <c r="H11" s="1214"/>
      <c r="I11" s="1814">
        <f t="shared" ref="I11:I16" si="1">SUM(G11:H11)</f>
        <v>0</v>
      </c>
    </row>
    <row r="12" spans="1:11" ht="12" customHeight="1">
      <c r="C12" s="213" t="s">
        <v>11</v>
      </c>
      <c r="D12" s="1216"/>
      <c r="E12" s="1217">
        <v>1</v>
      </c>
      <c r="F12" s="1218">
        <f t="shared" si="0"/>
        <v>1</v>
      </c>
      <c r="G12" s="1217"/>
      <c r="H12" s="1217"/>
      <c r="I12" s="1815">
        <f t="shared" si="1"/>
        <v>0</v>
      </c>
    </row>
    <row r="13" spans="1:11" ht="12" customHeight="1">
      <c r="C13" s="213" t="s">
        <v>13</v>
      </c>
      <c r="D13" s="1216"/>
      <c r="E13" s="1217"/>
      <c r="F13" s="1218">
        <f t="shared" si="0"/>
        <v>0</v>
      </c>
      <c r="G13" s="1217"/>
      <c r="H13" s="1217"/>
      <c r="I13" s="1815">
        <f t="shared" si="1"/>
        <v>0</v>
      </c>
    </row>
    <row r="14" spans="1:11" ht="12" customHeight="1">
      <c r="C14" s="213" t="s">
        <v>15</v>
      </c>
      <c r="D14" s="1216">
        <v>1</v>
      </c>
      <c r="E14" s="1217">
        <v>2</v>
      </c>
      <c r="F14" s="1218">
        <f t="shared" si="0"/>
        <v>3</v>
      </c>
      <c r="G14" s="1217"/>
      <c r="H14" s="1217">
        <v>1</v>
      </c>
      <c r="I14" s="1815">
        <f t="shared" si="1"/>
        <v>1</v>
      </c>
    </row>
    <row r="15" spans="1:11" ht="12" customHeight="1">
      <c r="C15" s="213" t="s">
        <v>17</v>
      </c>
      <c r="D15" s="1216">
        <v>2</v>
      </c>
      <c r="E15" s="1217">
        <v>6</v>
      </c>
      <c r="F15" s="1218">
        <f t="shared" si="0"/>
        <v>8</v>
      </c>
      <c r="G15" s="1217"/>
      <c r="H15" s="1217">
        <v>3</v>
      </c>
      <c r="I15" s="1815">
        <f t="shared" si="1"/>
        <v>3</v>
      </c>
    </row>
    <row r="16" spans="1:11" ht="12" customHeight="1">
      <c r="C16" s="214" t="s">
        <v>19</v>
      </c>
      <c r="D16" s="1219">
        <v>4</v>
      </c>
      <c r="E16" s="1219">
        <v>5</v>
      </c>
      <c r="F16" s="1220">
        <f t="shared" si="0"/>
        <v>9</v>
      </c>
      <c r="G16" s="1219">
        <v>3</v>
      </c>
      <c r="H16" s="1219">
        <v>2</v>
      </c>
      <c r="I16" s="1816">
        <f t="shared" si="1"/>
        <v>5</v>
      </c>
    </row>
    <row r="17" spans="1:9" ht="12" customHeight="1">
      <c r="C17" s="215" t="s">
        <v>193</v>
      </c>
      <c r="D17" s="1966">
        <f t="shared" ref="D17:I17" si="2">SUM(D11:D16)</f>
        <v>8</v>
      </c>
      <c r="E17" s="1967">
        <f t="shared" si="2"/>
        <v>14</v>
      </c>
      <c r="F17" s="1967">
        <f t="shared" si="2"/>
        <v>22</v>
      </c>
      <c r="G17" s="1967">
        <f t="shared" si="2"/>
        <v>3</v>
      </c>
      <c r="H17" s="1967">
        <f t="shared" si="2"/>
        <v>6</v>
      </c>
      <c r="I17" s="1968">
        <f t="shared" si="2"/>
        <v>9</v>
      </c>
    </row>
    <row r="18" spans="1:9" ht="12" customHeight="1">
      <c r="C18" s="216" t="s">
        <v>21</v>
      </c>
      <c r="D18" s="1217">
        <v>43</v>
      </c>
      <c r="E18" s="1217">
        <v>35</v>
      </c>
      <c r="F18" s="1215">
        <f t="shared" ref="F18:F42" si="3">SUM(D18:E18)</f>
        <v>78</v>
      </c>
      <c r="G18" s="1214">
        <v>34</v>
      </c>
      <c r="H18" s="1214">
        <v>28</v>
      </c>
      <c r="I18" s="1817">
        <f t="shared" ref="I18:I42" si="4">SUM(G18:H18)</f>
        <v>62</v>
      </c>
    </row>
    <row r="19" spans="1:9" ht="12" customHeight="1">
      <c r="C19" s="213" t="s">
        <v>23</v>
      </c>
      <c r="D19" s="1217">
        <v>14</v>
      </c>
      <c r="E19" s="1217">
        <v>8</v>
      </c>
      <c r="F19" s="1218">
        <f t="shared" si="3"/>
        <v>22</v>
      </c>
      <c r="G19" s="1217">
        <v>11</v>
      </c>
      <c r="H19" s="1217">
        <v>7</v>
      </c>
      <c r="I19" s="1815">
        <f t="shared" si="4"/>
        <v>18</v>
      </c>
    </row>
    <row r="20" spans="1:9" ht="12" customHeight="1">
      <c r="C20" s="213" t="s">
        <v>25</v>
      </c>
      <c r="D20" s="1217">
        <v>27</v>
      </c>
      <c r="E20" s="1217">
        <v>13</v>
      </c>
      <c r="F20" s="1218">
        <f t="shared" si="3"/>
        <v>40</v>
      </c>
      <c r="G20" s="1217">
        <v>23</v>
      </c>
      <c r="H20" s="1217">
        <v>11</v>
      </c>
      <c r="I20" s="1815">
        <f t="shared" si="4"/>
        <v>34</v>
      </c>
    </row>
    <row r="21" spans="1:9" ht="12" customHeight="1">
      <c r="C21" s="213" t="s">
        <v>27</v>
      </c>
      <c r="D21" s="1217">
        <v>12</v>
      </c>
      <c r="E21" s="1217">
        <v>5</v>
      </c>
      <c r="F21" s="1218">
        <f t="shared" si="3"/>
        <v>17</v>
      </c>
      <c r="G21" s="1217">
        <v>11</v>
      </c>
      <c r="H21" s="1217">
        <v>4</v>
      </c>
      <c r="I21" s="1815">
        <f t="shared" si="4"/>
        <v>15</v>
      </c>
    </row>
    <row r="22" spans="1:9" ht="12" customHeight="1">
      <c r="C22" s="213" t="s">
        <v>29</v>
      </c>
      <c r="D22" s="1217">
        <v>23</v>
      </c>
      <c r="E22" s="1217">
        <v>14</v>
      </c>
      <c r="F22" s="1218">
        <f t="shared" si="3"/>
        <v>37</v>
      </c>
      <c r="G22" s="1217">
        <v>17</v>
      </c>
      <c r="H22" s="1217">
        <v>12</v>
      </c>
      <c r="I22" s="1815">
        <f t="shared" si="4"/>
        <v>29</v>
      </c>
    </row>
    <row r="23" spans="1:9" ht="12" customHeight="1">
      <c r="C23" s="213" t="s">
        <v>31</v>
      </c>
      <c r="D23" s="1217">
        <v>7</v>
      </c>
      <c r="E23" s="1217">
        <v>9</v>
      </c>
      <c r="F23" s="1218">
        <f t="shared" si="3"/>
        <v>16</v>
      </c>
      <c r="G23" s="1217">
        <v>3</v>
      </c>
      <c r="H23" s="1217">
        <v>6</v>
      </c>
      <c r="I23" s="1815">
        <f t="shared" si="4"/>
        <v>9</v>
      </c>
    </row>
    <row r="24" spans="1:9" ht="12" customHeight="1">
      <c r="C24" s="213" t="s">
        <v>33</v>
      </c>
      <c r="D24" s="1217">
        <v>4</v>
      </c>
      <c r="E24" s="1217">
        <v>1</v>
      </c>
      <c r="F24" s="1218">
        <f t="shared" si="3"/>
        <v>5</v>
      </c>
      <c r="G24" s="1217">
        <v>2</v>
      </c>
      <c r="H24" s="1217"/>
      <c r="I24" s="1815">
        <f t="shared" si="4"/>
        <v>2</v>
      </c>
    </row>
    <row r="25" spans="1:9" ht="12" customHeight="1">
      <c r="C25" s="213" t="s">
        <v>35</v>
      </c>
      <c r="D25" s="1217">
        <v>15</v>
      </c>
      <c r="E25" s="1217">
        <v>10</v>
      </c>
      <c r="F25" s="1218">
        <f t="shared" si="3"/>
        <v>25</v>
      </c>
      <c r="G25" s="1217">
        <v>13</v>
      </c>
      <c r="H25" s="1217">
        <v>7</v>
      </c>
      <c r="I25" s="1815">
        <f t="shared" si="4"/>
        <v>20</v>
      </c>
    </row>
    <row r="26" spans="1:9" ht="12" customHeight="1">
      <c r="C26" s="213" t="s">
        <v>37</v>
      </c>
      <c r="D26" s="1217">
        <v>10</v>
      </c>
      <c r="E26" s="1217">
        <v>8</v>
      </c>
      <c r="F26" s="1218">
        <f t="shared" si="3"/>
        <v>18</v>
      </c>
      <c r="G26" s="1217">
        <v>9</v>
      </c>
      <c r="H26" s="1217">
        <v>8</v>
      </c>
      <c r="I26" s="1815">
        <f t="shared" si="4"/>
        <v>17</v>
      </c>
    </row>
    <row r="27" spans="1:9" ht="12" customHeight="1">
      <c r="C27" s="213" t="s">
        <v>38</v>
      </c>
      <c r="D27" s="1217">
        <v>35</v>
      </c>
      <c r="E27" s="1217">
        <v>35</v>
      </c>
      <c r="F27" s="1218">
        <f t="shared" si="3"/>
        <v>70</v>
      </c>
      <c r="G27" s="1217">
        <v>24</v>
      </c>
      <c r="H27" s="1217">
        <v>24</v>
      </c>
      <c r="I27" s="1815">
        <f t="shared" si="4"/>
        <v>48</v>
      </c>
    </row>
    <row r="28" spans="1:9" ht="12" customHeight="1">
      <c r="C28" s="213" t="s">
        <v>40</v>
      </c>
      <c r="D28" s="1217">
        <v>14</v>
      </c>
      <c r="E28" s="1217">
        <v>26</v>
      </c>
      <c r="F28" s="1218">
        <f t="shared" si="3"/>
        <v>40</v>
      </c>
      <c r="G28" s="1217">
        <v>12</v>
      </c>
      <c r="H28" s="1217">
        <v>20</v>
      </c>
      <c r="I28" s="1815">
        <f t="shared" si="4"/>
        <v>32</v>
      </c>
    </row>
    <row r="29" spans="1:9" ht="12" customHeight="1">
      <c r="A29" s="1921"/>
      <c r="C29" s="213" t="s">
        <v>42</v>
      </c>
      <c r="D29" s="1217">
        <v>30</v>
      </c>
      <c r="E29" s="1217">
        <v>21</v>
      </c>
      <c r="F29" s="1218">
        <f t="shared" si="3"/>
        <v>51</v>
      </c>
      <c r="G29" s="1217">
        <v>15</v>
      </c>
      <c r="H29" s="1217">
        <v>10</v>
      </c>
      <c r="I29" s="1815">
        <f t="shared" si="4"/>
        <v>25</v>
      </c>
    </row>
    <row r="30" spans="1:9" ht="12" customHeight="1">
      <c r="C30" s="213" t="s">
        <v>43</v>
      </c>
      <c r="D30" s="1217">
        <v>19</v>
      </c>
      <c r="E30" s="1217">
        <v>25</v>
      </c>
      <c r="F30" s="1218">
        <f t="shared" si="3"/>
        <v>44</v>
      </c>
      <c r="G30" s="1217">
        <v>11</v>
      </c>
      <c r="H30" s="1217">
        <v>15</v>
      </c>
      <c r="I30" s="1815">
        <f t="shared" si="4"/>
        <v>26</v>
      </c>
    </row>
    <row r="31" spans="1:9" ht="12" customHeight="1">
      <c r="C31" s="213" t="s">
        <v>45</v>
      </c>
      <c r="D31" s="1217">
        <v>8</v>
      </c>
      <c r="E31" s="1217">
        <v>9</v>
      </c>
      <c r="F31" s="1218">
        <f t="shared" si="3"/>
        <v>17</v>
      </c>
      <c r="G31" s="1217">
        <v>7</v>
      </c>
      <c r="H31" s="1217">
        <v>7</v>
      </c>
      <c r="I31" s="1815">
        <f t="shared" si="4"/>
        <v>14</v>
      </c>
    </row>
    <row r="32" spans="1:9" ht="12" customHeight="1">
      <c r="C32" s="213" t="s">
        <v>46</v>
      </c>
      <c r="D32" s="1217">
        <v>14</v>
      </c>
      <c r="E32" s="1217">
        <v>21</v>
      </c>
      <c r="F32" s="1218">
        <f t="shared" si="3"/>
        <v>35</v>
      </c>
      <c r="G32" s="1217">
        <v>10</v>
      </c>
      <c r="H32" s="1217">
        <v>18</v>
      </c>
      <c r="I32" s="1815">
        <f t="shared" si="4"/>
        <v>28</v>
      </c>
    </row>
    <row r="33" spans="3:9" ht="12" customHeight="1">
      <c r="C33" s="213" t="s">
        <v>47</v>
      </c>
      <c r="D33" s="1217">
        <v>19</v>
      </c>
      <c r="E33" s="1217">
        <v>34</v>
      </c>
      <c r="F33" s="1218">
        <f t="shared" si="3"/>
        <v>53</v>
      </c>
      <c r="G33" s="1217">
        <v>19</v>
      </c>
      <c r="H33" s="1217">
        <v>26</v>
      </c>
      <c r="I33" s="1815">
        <f t="shared" si="4"/>
        <v>45</v>
      </c>
    </row>
    <row r="34" spans="3:9" ht="12" customHeight="1">
      <c r="C34" s="213" t="s">
        <v>48</v>
      </c>
      <c r="D34" s="1217">
        <v>18</v>
      </c>
      <c r="E34" s="1217">
        <v>30</v>
      </c>
      <c r="F34" s="1218">
        <f t="shared" si="3"/>
        <v>48</v>
      </c>
      <c r="G34" s="1217">
        <v>13</v>
      </c>
      <c r="H34" s="1217">
        <v>18</v>
      </c>
      <c r="I34" s="1815">
        <f t="shared" si="4"/>
        <v>31</v>
      </c>
    </row>
    <row r="35" spans="3:9" ht="12" customHeight="1">
      <c r="C35" s="213" t="s">
        <v>50</v>
      </c>
      <c r="D35" s="1217">
        <v>14</v>
      </c>
      <c r="E35" s="1217">
        <v>14</v>
      </c>
      <c r="F35" s="1218">
        <f t="shared" si="3"/>
        <v>28</v>
      </c>
      <c r="G35" s="1217">
        <v>5</v>
      </c>
      <c r="H35" s="1217">
        <v>6</v>
      </c>
      <c r="I35" s="1815">
        <f t="shared" si="4"/>
        <v>11</v>
      </c>
    </row>
    <row r="36" spans="3:9" ht="12" customHeight="1">
      <c r="C36" s="213" t="s">
        <v>97</v>
      </c>
      <c r="D36" s="1217">
        <v>26</v>
      </c>
      <c r="E36" s="1217">
        <v>25</v>
      </c>
      <c r="F36" s="1218">
        <f t="shared" si="3"/>
        <v>51</v>
      </c>
      <c r="G36" s="1217">
        <v>11</v>
      </c>
      <c r="H36" s="1217">
        <v>11</v>
      </c>
      <c r="I36" s="1815">
        <f t="shared" si="4"/>
        <v>22</v>
      </c>
    </row>
    <row r="37" spans="3:9" ht="12" customHeight="1">
      <c r="C37" s="213" t="s">
        <v>99</v>
      </c>
      <c r="D37" s="1217">
        <v>15</v>
      </c>
      <c r="E37" s="1217">
        <v>19</v>
      </c>
      <c r="F37" s="1218">
        <f t="shared" si="3"/>
        <v>34</v>
      </c>
      <c r="G37" s="1217">
        <v>10</v>
      </c>
      <c r="H37" s="1217">
        <v>7</v>
      </c>
      <c r="I37" s="1815">
        <f t="shared" si="4"/>
        <v>17</v>
      </c>
    </row>
    <row r="38" spans="3:9" ht="12" customHeight="1">
      <c r="C38" s="213" t="s">
        <v>142</v>
      </c>
      <c r="D38" s="1217">
        <v>2</v>
      </c>
      <c r="E38" s="1217">
        <v>15</v>
      </c>
      <c r="F38" s="1218">
        <f t="shared" si="3"/>
        <v>17</v>
      </c>
      <c r="G38" s="1217">
        <v>2</v>
      </c>
      <c r="H38" s="1217">
        <v>13</v>
      </c>
      <c r="I38" s="1815">
        <f t="shared" si="4"/>
        <v>15</v>
      </c>
    </row>
    <row r="39" spans="3:9" ht="12" customHeight="1">
      <c r="C39" s="213" t="s">
        <v>101</v>
      </c>
      <c r="D39" s="1217">
        <v>2</v>
      </c>
      <c r="E39" s="1217">
        <v>4</v>
      </c>
      <c r="F39" s="1218">
        <f t="shared" si="3"/>
        <v>6</v>
      </c>
      <c r="G39" s="1217">
        <v>2</v>
      </c>
      <c r="H39" s="1217">
        <v>4</v>
      </c>
      <c r="I39" s="1815">
        <f t="shared" si="4"/>
        <v>6</v>
      </c>
    </row>
    <row r="40" spans="3:9" ht="12" customHeight="1">
      <c r="C40" s="213" t="s">
        <v>103</v>
      </c>
      <c r="D40" s="1217">
        <v>11</v>
      </c>
      <c r="E40" s="1217">
        <v>32</v>
      </c>
      <c r="F40" s="1218">
        <f t="shared" si="3"/>
        <v>43</v>
      </c>
      <c r="G40" s="1217">
        <v>6</v>
      </c>
      <c r="H40" s="1217">
        <v>9</v>
      </c>
      <c r="I40" s="1815">
        <f t="shared" si="4"/>
        <v>15</v>
      </c>
    </row>
    <row r="41" spans="3:9" ht="12" customHeight="1">
      <c r="C41" s="214">
        <v>76</v>
      </c>
      <c r="D41" s="1219">
        <v>2</v>
      </c>
      <c r="E41" s="1219">
        <v>2</v>
      </c>
      <c r="F41" s="1218">
        <f t="shared" si="3"/>
        <v>4</v>
      </c>
      <c r="G41" s="1219">
        <v>2</v>
      </c>
      <c r="H41" s="1219">
        <v>1</v>
      </c>
      <c r="I41" s="1815">
        <f t="shared" si="4"/>
        <v>3</v>
      </c>
    </row>
    <row r="42" spans="3:9" ht="12" customHeight="1">
      <c r="C42" s="214" t="s">
        <v>202</v>
      </c>
      <c r="D42" s="1219"/>
      <c r="E42" s="1219">
        <v>1</v>
      </c>
      <c r="F42" s="1220">
        <f t="shared" si="3"/>
        <v>1</v>
      </c>
      <c r="G42" s="1219"/>
      <c r="H42" s="1219">
        <v>1</v>
      </c>
      <c r="I42" s="1816">
        <f t="shared" si="4"/>
        <v>1</v>
      </c>
    </row>
    <row r="43" spans="3:9" ht="12" customHeight="1">
      <c r="C43" s="215" t="s">
        <v>217</v>
      </c>
      <c r="D43" s="1966">
        <f t="shared" ref="D43:I43" si="5">SUM(D18:D42)</f>
        <v>384</v>
      </c>
      <c r="E43" s="1967">
        <f>SUM(E18:E42)</f>
        <v>416</v>
      </c>
      <c r="F43" s="1967">
        <f>SUM(F18:F42)</f>
        <v>800</v>
      </c>
      <c r="G43" s="1967">
        <f t="shared" si="5"/>
        <v>272</v>
      </c>
      <c r="H43" s="1967">
        <f t="shared" si="5"/>
        <v>273</v>
      </c>
      <c r="I43" s="1968">
        <f t="shared" si="5"/>
        <v>545</v>
      </c>
    </row>
    <row r="44" spans="3:9" ht="12" customHeight="1">
      <c r="C44" s="216" t="s">
        <v>52</v>
      </c>
      <c r="D44" s="1214">
        <v>18</v>
      </c>
      <c r="E44" s="1214">
        <v>91</v>
      </c>
      <c r="F44" s="1215">
        <f t="shared" ref="F44:F66" si="6">SUM(D44:E44)</f>
        <v>109</v>
      </c>
      <c r="G44" s="1214">
        <v>15</v>
      </c>
      <c r="H44" s="1214">
        <v>85</v>
      </c>
      <c r="I44" s="1817">
        <f t="shared" ref="I44:I66" si="7">SUM(G44:H44)</f>
        <v>100</v>
      </c>
    </row>
    <row r="45" spans="3:9" ht="12" customHeight="1">
      <c r="C45" s="213" t="s">
        <v>54</v>
      </c>
      <c r="D45" s="1217">
        <v>31</v>
      </c>
      <c r="E45" s="1217">
        <v>100</v>
      </c>
      <c r="F45" s="1218">
        <f t="shared" si="6"/>
        <v>131</v>
      </c>
      <c r="G45" s="1217">
        <v>27</v>
      </c>
      <c r="H45" s="1217">
        <v>83</v>
      </c>
      <c r="I45" s="1815">
        <f t="shared" si="7"/>
        <v>110</v>
      </c>
    </row>
    <row r="46" spans="3:9" ht="12" customHeight="1">
      <c r="C46" s="213" t="s">
        <v>56</v>
      </c>
      <c r="D46" s="1217">
        <v>23</v>
      </c>
      <c r="E46" s="1217">
        <v>147</v>
      </c>
      <c r="F46" s="1218">
        <f t="shared" si="6"/>
        <v>170</v>
      </c>
      <c r="G46" s="1217">
        <v>16</v>
      </c>
      <c r="H46" s="1217">
        <v>87</v>
      </c>
      <c r="I46" s="1815">
        <f t="shared" si="7"/>
        <v>103</v>
      </c>
    </row>
    <row r="47" spans="3:9" ht="12" customHeight="1">
      <c r="C47" s="213" t="s">
        <v>58</v>
      </c>
      <c r="D47" s="1217">
        <v>30</v>
      </c>
      <c r="E47" s="1217">
        <v>85</v>
      </c>
      <c r="F47" s="1218">
        <f t="shared" si="6"/>
        <v>115</v>
      </c>
      <c r="G47" s="1217">
        <v>23</v>
      </c>
      <c r="H47" s="1217">
        <v>72</v>
      </c>
      <c r="I47" s="1815">
        <f t="shared" si="7"/>
        <v>95</v>
      </c>
    </row>
    <row r="48" spans="3:9" ht="12" customHeight="1">
      <c r="C48" s="213" t="s">
        <v>60</v>
      </c>
      <c r="D48" s="1217">
        <v>6</v>
      </c>
      <c r="E48" s="1217">
        <v>33</v>
      </c>
      <c r="F48" s="1218">
        <f t="shared" si="6"/>
        <v>39</v>
      </c>
      <c r="G48" s="1217">
        <v>6</v>
      </c>
      <c r="H48" s="1217">
        <v>27</v>
      </c>
      <c r="I48" s="1815">
        <f t="shared" si="7"/>
        <v>33</v>
      </c>
    </row>
    <row r="49" spans="3:9" ht="12" customHeight="1">
      <c r="C49" s="213" t="s">
        <v>62</v>
      </c>
      <c r="D49" s="1217">
        <v>12</v>
      </c>
      <c r="E49" s="1217">
        <v>39</v>
      </c>
      <c r="F49" s="1218">
        <f t="shared" si="6"/>
        <v>51</v>
      </c>
      <c r="G49" s="1217">
        <v>11</v>
      </c>
      <c r="H49" s="1217">
        <v>31</v>
      </c>
      <c r="I49" s="1815">
        <f t="shared" si="7"/>
        <v>42</v>
      </c>
    </row>
    <row r="50" spans="3:9" ht="12" customHeight="1">
      <c r="C50" s="213" t="s">
        <v>64</v>
      </c>
      <c r="D50" s="1217">
        <v>32</v>
      </c>
      <c r="E50" s="1217">
        <v>63</v>
      </c>
      <c r="F50" s="1218">
        <f t="shared" si="6"/>
        <v>95</v>
      </c>
      <c r="G50" s="1217">
        <v>29</v>
      </c>
      <c r="H50" s="1217">
        <v>49</v>
      </c>
      <c r="I50" s="1815">
        <f t="shared" si="7"/>
        <v>78</v>
      </c>
    </row>
    <row r="51" spans="3:9" ht="12" customHeight="1">
      <c r="C51" s="213" t="s">
        <v>66</v>
      </c>
      <c r="D51" s="1217">
        <v>24</v>
      </c>
      <c r="E51" s="1217">
        <v>54</v>
      </c>
      <c r="F51" s="1218">
        <f t="shared" si="6"/>
        <v>78</v>
      </c>
      <c r="G51" s="1217">
        <v>14</v>
      </c>
      <c r="H51" s="1217">
        <v>44</v>
      </c>
      <c r="I51" s="1815">
        <f t="shared" si="7"/>
        <v>58</v>
      </c>
    </row>
    <row r="52" spans="3:9" ht="12" customHeight="1">
      <c r="C52" s="213" t="s">
        <v>68</v>
      </c>
      <c r="D52" s="1217">
        <v>23</v>
      </c>
      <c r="E52" s="1217">
        <v>38</v>
      </c>
      <c r="F52" s="1218">
        <f t="shared" si="6"/>
        <v>61</v>
      </c>
      <c r="G52" s="1217">
        <v>14</v>
      </c>
      <c r="H52" s="1217">
        <v>27</v>
      </c>
      <c r="I52" s="1815">
        <f t="shared" si="7"/>
        <v>41</v>
      </c>
    </row>
    <row r="53" spans="3:9" ht="12" customHeight="1">
      <c r="C53" s="213" t="s">
        <v>70</v>
      </c>
      <c r="D53" s="1217">
        <v>5</v>
      </c>
      <c r="E53" s="1217">
        <v>12</v>
      </c>
      <c r="F53" s="1218">
        <f t="shared" si="6"/>
        <v>17</v>
      </c>
      <c r="G53" s="1217">
        <v>4</v>
      </c>
      <c r="H53" s="1217">
        <v>12</v>
      </c>
      <c r="I53" s="1815">
        <f t="shared" si="7"/>
        <v>16</v>
      </c>
    </row>
    <row r="54" spans="3:9" ht="12" customHeight="1">
      <c r="C54" s="213" t="s">
        <v>72</v>
      </c>
      <c r="D54" s="1217">
        <v>16</v>
      </c>
      <c r="E54" s="1217">
        <v>25</v>
      </c>
      <c r="F54" s="1218">
        <f t="shared" si="6"/>
        <v>41</v>
      </c>
      <c r="G54" s="1217">
        <v>15</v>
      </c>
      <c r="H54" s="1217">
        <v>25</v>
      </c>
      <c r="I54" s="1815">
        <f t="shared" si="7"/>
        <v>40</v>
      </c>
    </row>
    <row r="55" spans="3:9" ht="12" customHeight="1">
      <c r="C55" s="213" t="s">
        <v>74</v>
      </c>
      <c r="D55" s="1217">
        <v>15</v>
      </c>
      <c r="E55" s="1217">
        <v>32</v>
      </c>
      <c r="F55" s="1218">
        <f t="shared" si="6"/>
        <v>47</v>
      </c>
      <c r="G55" s="1217">
        <v>13</v>
      </c>
      <c r="H55" s="1217">
        <v>29</v>
      </c>
      <c r="I55" s="1815">
        <f t="shared" si="7"/>
        <v>42</v>
      </c>
    </row>
    <row r="56" spans="3:9" ht="12" customHeight="1">
      <c r="C56" s="213" t="s">
        <v>76</v>
      </c>
      <c r="D56" s="1217">
        <v>6</v>
      </c>
      <c r="E56" s="1217">
        <v>14</v>
      </c>
      <c r="F56" s="1218">
        <f t="shared" si="6"/>
        <v>20</v>
      </c>
      <c r="G56" s="1217">
        <v>6</v>
      </c>
      <c r="H56" s="1217">
        <v>12</v>
      </c>
      <c r="I56" s="1815">
        <f t="shared" si="7"/>
        <v>18</v>
      </c>
    </row>
    <row r="57" spans="3:9" ht="12" customHeight="1">
      <c r="C57" s="213" t="s">
        <v>78</v>
      </c>
      <c r="D57" s="1217">
        <v>21</v>
      </c>
      <c r="E57" s="1217">
        <v>132</v>
      </c>
      <c r="F57" s="1218">
        <f t="shared" si="6"/>
        <v>153</v>
      </c>
      <c r="G57" s="1217">
        <v>12</v>
      </c>
      <c r="H57" s="1217">
        <v>96</v>
      </c>
      <c r="I57" s="1815">
        <f t="shared" si="7"/>
        <v>108</v>
      </c>
    </row>
    <row r="58" spans="3:9" ht="12" customHeight="1">
      <c r="C58" s="213" t="s">
        <v>80</v>
      </c>
      <c r="D58" s="1217">
        <v>8</v>
      </c>
      <c r="E58" s="1217">
        <v>85</v>
      </c>
      <c r="F58" s="1218">
        <f t="shared" si="6"/>
        <v>93</v>
      </c>
      <c r="G58" s="1217">
        <v>5</v>
      </c>
      <c r="H58" s="1217">
        <v>56</v>
      </c>
      <c r="I58" s="1815">
        <f t="shared" si="7"/>
        <v>61</v>
      </c>
    </row>
    <row r="59" spans="3:9" ht="12" customHeight="1">
      <c r="C59" s="213" t="s">
        <v>82</v>
      </c>
      <c r="D59" s="1217">
        <v>19</v>
      </c>
      <c r="E59" s="1217">
        <v>56</v>
      </c>
      <c r="F59" s="1218">
        <f t="shared" si="6"/>
        <v>75</v>
      </c>
      <c r="G59" s="1217">
        <v>13</v>
      </c>
      <c r="H59" s="1217">
        <v>35</v>
      </c>
      <c r="I59" s="1815">
        <f t="shared" si="7"/>
        <v>48</v>
      </c>
    </row>
    <row r="60" spans="3:9" ht="12" customHeight="1">
      <c r="C60" s="213" t="s">
        <v>84</v>
      </c>
      <c r="D60" s="1217">
        <v>14</v>
      </c>
      <c r="E60" s="1217">
        <v>73</v>
      </c>
      <c r="F60" s="1218">
        <f t="shared" si="6"/>
        <v>87</v>
      </c>
      <c r="G60" s="1217">
        <v>10</v>
      </c>
      <c r="H60" s="1217">
        <v>46</v>
      </c>
      <c r="I60" s="1815">
        <f t="shared" si="7"/>
        <v>56</v>
      </c>
    </row>
    <row r="61" spans="3:9" ht="12" customHeight="1">
      <c r="C61" s="213" t="s">
        <v>85</v>
      </c>
      <c r="D61" s="1217">
        <v>40</v>
      </c>
      <c r="E61" s="1217">
        <v>54</v>
      </c>
      <c r="F61" s="1218">
        <f t="shared" si="6"/>
        <v>94</v>
      </c>
      <c r="G61" s="1217">
        <v>29</v>
      </c>
      <c r="H61" s="1217">
        <v>41</v>
      </c>
      <c r="I61" s="1815">
        <f t="shared" si="7"/>
        <v>70</v>
      </c>
    </row>
    <row r="62" spans="3:9" ht="12" customHeight="1">
      <c r="C62" s="213" t="s">
        <v>87</v>
      </c>
      <c r="D62" s="1217">
        <v>51</v>
      </c>
      <c r="E62" s="1217">
        <v>64</v>
      </c>
      <c r="F62" s="1218">
        <f t="shared" si="6"/>
        <v>115</v>
      </c>
      <c r="G62" s="1217">
        <v>38</v>
      </c>
      <c r="H62" s="1217">
        <v>52</v>
      </c>
      <c r="I62" s="1815">
        <f t="shared" si="7"/>
        <v>90</v>
      </c>
    </row>
    <row r="63" spans="3:9" ht="12" customHeight="1">
      <c r="C63" s="213" t="s">
        <v>89</v>
      </c>
      <c r="D63" s="1217">
        <v>23</v>
      </c>
      <c r="E63" s="1217">
        <v>29</v>
      </c>
      <c r="F63" s="1218">
        <f t="shared" si="6"/>
        <v>52</v>
      </c>
      <c r="G63" s="1217">
        <v>17</v>
      </c>
      <c r="H63" s="1217">
        <v>27</v>
      </c>
      <c r="I63" s="1815">
        <f t="shared" si="7"/>
        <v>44</v>
      </c>
    </row>
    <row r="64" spans="3:9" ht="12" customHeight="1">
      <c r="C64" s="213" t="s">
        <v>91</v>
      </c>
      <c r="D64" s="1217">
        <v>18</v>
      </c>
      <c r="E64" s="1217">
        <v>34</v>
      </c>
      <c r="F64" s="1218">
        <f t="shared" si="6"/>
        <v>52</v>
      </c>
      <c r="G64" s="1217">
        <v>11</v>
      </c>
      <c r="H64" s="1217">
        <v>27</v>
      </c>
      <c r="I64" s="1815">
        <f t="shared" si="7"/>
        <v>38</v>
      </c>
    </row>
    <row r="65" spans="3:10" ht="12" customHeight="1">
      <c r="C65" s="213" t="s">
        <v>93</v>
      </c>
      <c r="D65" s="1217">
        <v>21</v>
      </c>
      <c r="E65" s="1217">
        <v>31</v>
      </c>
      <c r="F65" s="1218">
        <f t="shared" si="6"/>
        <v>52</v>
      </c>
      <c r="G65" s="1217">
        <v>20</v>
      </c>
      <c r="H65" s="1217">
        <v>24</v>
      </c>
      <c r="I65" s="1815">
        <f t="shared" si="7"/>
        <v>44</v>
      </c>
    </row>
    <row r="66" spans="3:10" ht="12" customHeight="1">
      <c r="C66" s="214" t="s">
        <v>95</v>
      </c>
      <c r="D66" s="1219">
        <v>26</v>
      </c>
      <c r="E66" s="1219">
        <v>21</v>
      </c>
      <c r="F66" s="1220">
        <f t="shared" si="6"/>
        <v>47</v>
      </c>
      <c r="G66" s="1219">
        <v>14</v>
      </c>
      <c r="H66" s="1219">
        <v>17</v>
      </c>
      <c r="I66" s="1816">
        <f t="shared" si="7"/>
        <v>31</v>
      </c>
    </row>
    <row r="67" spans="3:10" ht="12" customHeight="1">
      <c r="C67" s="215" t="s">
        <v>196</v>
      </c>
      <c r="D67" s="1966">
        <f t="shared" ref="D67:I67" si="8">SUM(D44:D66)</f>
        <v>482</v>
      </c>
      <c r="E67" s="1967">
        <f t="shared" si="8"/>
        <v>1312</v>
      </c>
      <c r="F67" s="1967">
        <f t="shared" si="8"/>
        <v>1794</v>
      </c>
      <c r="G67" s="1967">
        <f t="shared" si="8"/>
        <v>362</v>
      </c>
      <c r="H67" s="1967">
        <f t="shared" si="8"/>
        <v>1004</v>
      </c>
      <c r="I67" s="1968">
        <f t="shared" si="8"/>
        <v>1366</v>
      </c>
    </row>
    <row r="68" spans="3:10" ht="12" customHeight="1">
      <c r="C68" s="216">
        <v>85</v>
      </c>
      <c r="D68" s="1214">
        <v>7</v>
      </c>
      <c r="E68" s="1214">
        <v>10</v>
      </c>
      <c r="F68" s="1215">
        <f>SUM(D68:E68)</f>
        <v>17</v>
      </c>
      <c r="G68" s="1214">
        <v>4</v>
      </c>
      <c r="H68" s="1214">
        <v>2</v>
      </c>
      <c r="I68" s="1817">
        <f>SUM(G68:H68)</f>
        <v>6</v>
      </c>
    </row>
    <row r="69" spans="3:10" ht="12" customHeight="1">
      <c r="C69" s="213">
        <v>86</v>
      </c>
      <c r="D69" s="1217">
        <v>5</v>
      </c>
      <c r="E69" s="1217">
        <v>3</v>
      </c>
      <c r="F69" s="1218">
        <f>SUM(D69:E69)</f>
        <v>8</v>
      </c>
      <c r="G69" s="1217">
        <v>3</v>
      </c>
      <c r="H69" s="1217">
        <v>1</v>
      </c>
      <c r="I69" s="1815">
        <f>SUM(G69:H69)</f>
        <v>4</v>
      </c>
    </row>
    <row r="70" spans="3:10" ht="12" customHeight="1">
      <c r="C70" s="214">
        <v>87</v>
      </c>
      <c r="D70" s="1219">
        <v>5</v>
      </c>
      <c r="E70" s="1219">
        <v>7</v>
      </c>
      <c r="F70" s="1220">
        <f>SUM(D70:E70)</f>
        <v>12</v>
      </c>
      <c r="G70" s="1219">
        <v>4</v>
      </c>
      <c r="H70" s="1219">
        <v>4</v>
      </c>
      <c r="I70" s="1816">
        <f>SUM(G70:H70)</f>
        <v>8</v>
      </c>
    </row>
    <row r="71" spans="3:10" ht="12" customHeight="1">
      <c r="C71" s="215" t="s">
        <v>150</v>
      </c>
      <c r="D71" s="1969">
        <f t="shared" ref="D71:I71" si="9">SUM(D68:D70)</f>
        <v>17</v>
      </c>
      <c r="E71" s="1970">
        <f t="shared" si="9"/>
        <v>20</v>
      </c>
      <c r="F71" s="1970">
        <f t="shared" si="9"/>
        <v>37</v>
      </c>
      <c r="G71" s="1970">
        <f t="shared" si="9"/>
        <v>11</v>
      </c>
      <c r="H71" s="1970">
        <f t="shared" si="9"/>
        <v>7</v>
      </c>
      <c r="I71" s="1971">
        <f t="shared" si="9"/>
        <v>18</v>
      </c>
    </row>
    <row r="72" spans="3:10" ht="12" customHeight="1" thickBot="1">
      <c r="C72" s="217" t="s">
        <v>138</v>
      </c>
      <c r="D72" s="1819">
        <f t="shared" ref="D72:I72" si="10">D17+D43+D67+D71</f>
        <v>891</v>
      </c>
      <c r="E72" s="1820">
        <f>E17+E43+E67+E71</f>
        <v>1762</v>
      </c>
      <c r="F72" s="1820">
        <f>F17+F43+F67+F71</f>
        <v>2653</v>
      </c>
      <c r="G72" s="1820">
        <f t="shared" si="10"/>
        <v>648</v>
      </c>
      <c r="H72" s="1820">
        <f t="shared" si="10"/>
        <v>1290</v>
      </c>
      <c r="I72" s="1821">
        <f t="shared" si="10"/>
        <v>1938</v>
      </c>
      <c r="J72" s="1818"/>
    </row>
    <row r="73" spans="3:10">
      <c r="C73" s="110"/>
    </row>
    <row r="74" spans="3:10">
      <c r="C74" s="201" t="str">
        <f>'fiche technique'!A10</f>
        <v>Source: GALAXIE (ANTARES-ANTEE), DGRH A1-1 &amp; DGRH A2, juin 2014</v>
      </c>
    </row>
  </sheetData>
  <mergeCells count="7">
    <mergeCell ref="A2:K2"/>
    <mergeCell ref="A4:K4"/>
    <mergeCell ref="A5:K5"/>
    <mergeCell ref="D8:I8"/>
    <mergeCell ref="C9:C10"/>
    <mergeCell ref="D9:F9"/>
    <mergeCell ref="G9:I9"/>
  </mergeCells>
  <phoneticPr fontId="30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80" orientation="portrait" r:id="rId1"/>
  <headerFooter alignWithMargins="0">
    <oddHeader>&amp;LDGRH A1-1</oddHeader>
    <oddFooter>&amp;CPage 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Feuil50">
    <tabColor rgb="FFFFFF66"/>
  </sheetPr>
  <dimension ref="A1:T64"/>
  <sheetViews>
    <sheetView showZeros="0" workbookViewId="0">
      <selection activeCell="L18" sqref="L18"/>
    </sheetView>
  </sheetViews>
  <sheetFormatPr baseColWidth="10" defaultColWidth="11.44140625" defaultRowHeight="13.2"/>
  <cols>
    <col min="1" max="1" width="7.33203125" style="525" customWidth="1"/>
    <col min="2" max="2" width="65" style="525" customWidth="1"/>
    <col min="3" max="5" width="6.33203125" style="525" customWidth="1"/>
    <col min="6" max="6" width="6.44140625" style="525" customWidth="1"/>
    <col min="7" max="7" width="6.6640625" style="525" customWidth="1"/>
    <col min="8" max="8" width="5.6640625" style="525" customWidth="1"/>
    <col min="9" max="9" width="7.33203125" style="525" customWidth="1"/>
    <col min="10" max="10" width="9" style="525" customWidth="1"/>
    <col min="11" max="13" width="11.44140625" style="525"/>
    <col min="14" max="14" width="11.5546875" style="525" bestFit="1" customWidth="1"/>
    <col min="15" max="16384" width="11.44140625" style="525"/>
  </cols>
  <sheetData>
    <row r="1" spans="1:19" ht="15" customHeight="1"/>
    <row r="2" spans="1:19" ht="24" customHeight="1">
      <c r="A2" s="2073" t="str">
        <f>'fiche technique'!A5</f>
        <v>Bilan de la campagne 2014 de recrutement et d'affectation des professeurs des universités (session synchronisée - ANTEE)</v>
      </c>
      <c r="B2" s="2073"/>
      <c r="C2" s="2073"/>
      <c r="D2" s="2073"/>
      <c r="E2" s="2073"/>
      <c r="F2" s="2073"/>
      <c r="G2" s="2073"/>
      <c r="H2" s="2073"/>
      <c r="I2" s="2073"/>
      <c r="J2" s="2073"/>
    </row>
    <row r="3" spans="1:19" ht="15" customHeight="1"/>
    <row r="4" spans="1:19" ht="20.25" customHeight="1">
      <c r="A4" s="2104" t="s">
        <v>302</v>
      </c>
      <c r="B4" s="2104"/>
      <c r="C4" s="2104"/>
      <c r="D4" s="2104"/>
      <c r="E4" s="2104"/>
      <c r="F4" s="2104"/>
      <c r="G4" s="2104"/>
      <c r="H4" s="2104"/>
      <c r="I4" s="2104"/>
      <c r="J4" s="2104"/>
    </row>
    <row r="5" spans="1:19" ht="20.25" customHeight="1">
      <c r="A5" s="2104" t="s">
        <v>250</v>
      </c>
      <c r="B5" s="2104"/>
      <c r="C5" s="2104"/>
      <c r="D5" s="2104"/>
      <c r="E5" s="2104"/>
      <c r="F5" s="2104"/>
      <c r="G5" s="2104"/>
      <c r="H5" s="2104"/>
      <c r="I5" s="2104"/>
      <c r="J5" s="2104"/>
    </row>
    <row r="6" spans="1:19" ht="15" customHeight="1"/>
    <row r="7" spans="1:19" ht="15" customHeight="1" thickBot="1">
      <c r="A7" s="758"/>
      <c r="B7" s="523"/>
    </row>
    <row r="8" spans="1:19">
      <c r="A8" s="1896" t="s">
        <v>8</v>
      </c>
      <c r="B8" s="759" t="s">
        <v>251</v>
      </c>
      <c r="C8" s="760">
        <v>2010</v>
      </c>
      <c r="D8" s="760">
        <v>2011</v>
      </c>
      <c r="E8" s="760">
        <v>2012</v>
      </c>
      <c r="F8" s="760">
        <v>2013</v>
      </c>
      <c r="G8" s="760">
        <v>2014</v>
      </c>
      <c r="H8" s="760" t="s">
        <v>574</v>
      </c>
      <c r="I8" s="760" t="s">
        <v>155</v>
      </c>
      <c r="J8" s="761" t="s">
        <v>139</v>
      </c>
      <c r="L8" s="525" t="s">
        <v>700</v>
      </c>
      <c r="M8" s="525" t="s">
        <v>27</v>
      </c>
      <c r="N8" s="525" t="s">
        <v>29</v>
      </c>
      <c r="O8" s="525" t="s">
        <v>31</v>
      </c>
      <c r="P8" s="525" t="s">
        <v>33</v>
      </c>
      <c r="Q8" s="525" t="s">
        <v>35</v>
      </c>
      <c r="R8" s="525" t="s">
        <v>731</v>
      </c>
      <c r="S8" s="525" t="s">
        <v>382</v>
      </c>
    </row>
    <row r="9" spans="1:19">
      <c r="A9" s="730" t="s">
        <v>17</v>
      </c>
      <c r="B9" s="731" t="s">
        <v>18</v>
      </c>
      <c r="C9" s="762"/>
      <c r="D9" s="763"/>
      <c r="E9" s="763">
        <v>1</v>
      </c>
      <c r="F9" s="763">
        <v>1</v>
      </c>
      <c r="G9" s="763"/>
      <c r="H9" s="763"/>
      <c r="I9" s="986">
        <f>SUM(C9:H9)</f>
        <v>2</v>
      </c>
      <c r="J9" s="987">
        <f>G9/I9</f>
        <v>0</v>
      </c>
      <c r="L9" s="525" t="s">
        <v>17</v>
      </c>
      <c r="O9" s="525">
        <v>1</v>
      </c>
      <c r="P9" s="525">
        <v>1</v>
      </c>
      <c r="S9" s="525">
        <v>2</v>
      </c>
    </row>
    <row r="10" spans="1:19">
      <c r="A10" s="730" t="s">
        <v>19</v>
      </c>
      <c r="B10" s="731" t="s">
        <v>20</v>
      </c>
      <c r="C10" s="762"/>
      <c r="D10" s="763"/>
      <c r="E10" s="763"/>
      <c r="F10" s="763"/>
      <c r="G10" s="763">
        <v>1</v>
      </c>
      <c r="H10" s="763"/>
      <c r="I10" s="986">
        <f t="shared" ref="I10:I56" si="0">SUM(C10:H10)</f>
        <v>1</v>
      </c>
      <c r="J10" s="1008">
        <f t="shared" ref="J10:J56" si="1">G10/I10</f>
        <v>1</v>
      </c>
      <c r="L10" s="525" t="s">
        <v>19</v>
      </c>
      <c r="Q10" s="525">
        <v>1</v>
      </c>
      <c r="S10" s="525">
        <v>1</v>
      </c>
    </row>
    <row r="11" spans="1:19">
      <c r="A11" s="730" t="s">
        <v>21</v>
      </c>
      <c r="B11" s="731" t="s">
        <v>22</v>
      </c>
      <c r="C11" s="763">
        <v>1</v>
      </c>
      <c r="D11" s="763">
        <v>2</v>
      </c>
      <c r="E11" s="763"/>
      <c r="F11" s="763">
        <v>3</v>
      </c>
      <c r="G11" s="763">
        <v>15</v>
      </c>
      <c r="H11" s="763"/>
      <c r="I11" s="986">
        <f t="shared" si="0"/>
        <v>21</v>
      </c>
      <c r="J11" s="988">
        <f t="shared" si="1"/>
        <v>0.7142857142857143</v>
      </c>
      <c r="L11" s="525" t="s">
        <v>21</v>
      </c>
      <c r="M11" s="525">
        <v>2</v>
      </c>
      <c r="N11" s="525">
        <v>2</v>
      </c>
      <c r="P11" s="525">
        <v>3</v>
      </c>
      <c r="Q11" s="525">
        <v>15</v>
      </c>
      <c r="S11" s="525">
        <v>22</v>
      </c>
    </row>
    <row r="12" spans="1:19">
      <c r="A12" s="730" t="s">
        <v>23</v>
      </c>
      <c r="B12" s="731" t="s">
        <v>24</v>
      </c>
      <c r="C12" s="763"/>
      <c r="D12" s="763"/>
      <c r="E12" s="763"/>
      <c r="F12" s="763"/>
      <c r="G12" s="763">
        <v>2</v>
      </c>
      <c r="H12" s="763"/>
      <c r="I12" s="986">
        <f t="shared" si="0"/>
        <v>2</v>
      </c>
      <c r="J12" s="988">
        <f t="shared" si="1"/>
        <v>1</v>
      </c>
      <c r="L12" s="525" t="s">
        <v>23</v>
      </c>
      <c r="Q12" s="525">
        <v>2</v>
      </c>
      <c r="S12" s="525">
        <v>2</v>
      </c>
    </row>
    <row r="13" spans="1:19">
      <c r="A13" s="730" t="s">
        <v>25</v>
      </c>
      <c r="B13" s="731" t="s">
        <v>26</v>
      </c>
      <c r="C13" s="763">
        <v>2</v>
      </c>
      <c r="D13" s="763">
        <v>1</v>
      </c>
      <c r="E13" s="763">
        <v>4</v>
      </c>
      <c r="F13" s="763">
        <v>4</v>
      </c>
      <c r="G13" s="763">
        <v>6</v>
      </c>
      <c r="H13" s="763"/>
      <c r="I13" s="986">
        <f t="shared" si="0"/>
        <v>17</v>
      </c>
      <c r="J13" s="988">
        <f t="shared" si="1"/>
        <v>0.35294117647058826</v>
      </c>
      <c r="L13" s="525" t="s">
        <v>25</v>
      </c>
      <c r="M13" s="525">
        <v>2</v>
      </c>
      <c r="N13" s="525">
        <v>1</v>
      </c>
      <c r="O13" s="525">
        <v>4</v>
      </c>
      <c r="P13" s="525">
        <v>4</v>
      </c>
      <c r="Q13" s="525">
        <v>6</v>
      </c>
      <c r="S13" s="525">
        <v>17</v>
      </c>
    </row>
    <row r="14" spans="1:19">
      <c r="A14" s="730" t="s">
        <v>27</v>
      </c>
      <c r="B14" s="731" t="s">
        <v>28</v>
      </c>
      <c r="C14" s="763"/>
      <c r="D14" s="763"/>
      <c r="E14" s="763"/>
      <c r="F14" s="763"/>
      <c r="G14" s="763">
        <v>1</v>
      </c>
      <c r="H14" s="763">
        <v>1</v>
      </c>
      <c r="I14" s="986">
        <f t="shared" si="0"/>
        <v>2</v>
      </c>
      <c r="J14" s="988">
        <f t="shared" si="1"/>
        <v>0.5</v>
      </c>
      <c r="L14" s="525" t="s">
        <v>27</v>
      </c>
      <c r="Q14" s="525">
        <v>1</v>
      </c>
      <c r="R14" s="525">
        <v>1</v>
      </c>
      <c r="S14" s="525">
        <v>2</v>
      </c>
    </row>
    <row r="15" spans="1:19">
      <c r="A15" s="730" t="s">
        <v>29</v>
      </c>
      <c r="B15" s="731" t="s">
        <v>30</v>
      </c>
      <c r="C15" s="763"/>
      <c r="D15" s="763">
        <v>1</v>
      </c>
      <c r="E15" s="763">
        <v>2</v>
      </c>
      <c r="F15" s="763">
        <v>7</v>
      </c>
      <c r="G15" s="763">
        <v>9</v>
      </c>
      <c r="H15" s="763"/>
      <c r="I15" s="986">
        <f t="shared" si="0"/>
        <v>19</v>
      </c>
      <c r="J15" s="988">
        <f t="shared" si="1"/>
        <v>0.47368421052631576</v>
      </c>
      <c r="L15" s="525" t="s">
        <v>29</v>
      </c>
      <c r="N15" s="525">
        <v>1</v>
      </c>
      <c r="O15" s="525">
        <v>2</v>
      </c>
      <c r="P15" s="525">
        <v>7</v>
      </c>
      <c r="Q15" s="525">
        <v>9</v>
      </c>
      <c r="S15" s="525">
        <v>19</v>
      </c>
    </row>
    <row r="16" spans="1:19">
      <c r="A16" s="730" t="s">
        <v>31</v>
      </c>
      <c r="B16" s="731" t="s">
        <v>32</v>
      </c>
      <c r="C16" s="763"/>
      <c r="D16" s="763">
        <v>1</v>
      </c>
      <c r="E16" s="763"/>
      <c r="F16" s="763">
        <v>1</v>
      </c>
      <c r="G16" s="763">
        <v>2</v>
      </c>
      <c r="H16" s="763"/>
      <c r="I16" s="986">
        <f t="shared" si="0"/>
        <v>4</v>
      </c>
      <c r="J16" s="988">
        <f t="shared" si="1"/>
        <v>0.5</v>
      </c>
      <c r="L16" s="679" t="s">
        <v>31</v>
      </c>
      <c r="M16" s="679"/>
      <c r="N16" s="679">
        <v>1</v>
      </c>
      <c r="O16" s="679"/>
      <c r="P16" s="679">
        <v>1</v>
      </c>
      <c r="Q16" s="679">
        <v>2</v>
      </c>
      <c r="R16" s="679"/>
      <c r="S16" s="679">
        <v>4</v>
      </c>
    </row>
    <row r="17" spans="1:19" ht="26.4">
      <c r="A17" s="730" t="s">
        <v>35</v>
      </c>
      <c r="B17" s="731" t="s">
        <v>36</v>
      </c>
      <c r="C17" s="763"/>
      <c r="D17" s="763"/>
      <c r="E17" s="763">
        <v>3</v>
      </c>
      <c r="F17" s="763">
        <v>4</v>
      </c>
      <c r="G17" s="763">
        <v>8</v>
      </c>
      <c r="H17" s="763">
        <v>1</v>
      </c>
      <c r="I17" s="986">
        <f t="shared" si="0"/>
        <v>16</v>
      </c>
      <c r="J17" s="988">
        <f t="shared" si="1"/>
        <v>0.5</v>
      </c>
      <c r="L17" s="525" t="s">
        <v>35</v>
      </c>
      <c r="O17" s="525">
        <v>3</v>
      </c>
      <c r="P17" s="525">
        <v>4</v>
      </c>
      <c r="Q17" s="525">
        <v>8</v>
      </c>
      <c r="R17" s="525">
        <v>1</v>
      </c>
      <c r="S17" s="525">
        <v>16</v>
      </c>
    </row>
    <row r="18" spans="1:19" ht="12.75" customHeight="1">
      <c r="A18" s="730" t="s">
        <v>37</v>
      </c>
      <c r="B18" s="731" t="s">
        <v>122</v>
      </c>
      <c r="C18" s="763"/>
      <c r="D18" s="763"/>
      <c r="E18" s="763"/>
      <c r="F18" s="763">
        <v>1</v>
      </c>
      <c r="G18" s="763">
        <v>3</v>
      </c>
      <c r="H18" s="763">
        <v>1</v>
      </c>
      <c r="I18" s="986">
        <f t="shared" si="0"/>
        <v>5</v>
      </c>
      <c r="J18" s="988">
        <f t="shared" si="1"/>
        <v>0.6</v>
      </c>
      <c r="L18" s="525" t="s">
        <v>37</v>
      </c>
      <c r="P18" s="525">
        <v>1</v>
      </c>
      <c r="Q18" s="525">
        <v>3</v>
      </c>
      <c r="R18" s="525">
        <v>1</v>
      </c>
      <c r="S18" s="525">
        <v>5</v>
      </c>
    </row>
    <row r="19" spans="1:19" s="679" customFormat="1">
      <c r="A19" s="730" t="s">
        <v>38</v>
      </c>
      <c r="B19" s="731" t="s">
        <v>39</v>
      </c>
      <c r="C19" s="763"/>
      <c r="D19" s="763">
        <v>3</v>
      </c>
      <c r="E19" s="763">
        <v>3</v>
      </c>
      <c r="F19" s="763">
        <v>9</v>
      </c>
      <c r="G19" s="763">
        <v>9</v>
      </c>
      <c r="H19" s="763"/>
      <c r="I19" s="986">
        <f t="shared" si="0"/>
        <v>24</v>
      </c>
      <c r="J19" s="988">
        <f t="shared" si="1"/>
        <v>0.375</v>
      </c>
      <c r="L19" s="525" t="s">
        <v>38</v>
      </c>
      <c r="M19" s="525"/>
      <c r="N19" s="525">
        <v>3</v>
      </c>
      <c r="O19" s="525">
        <v>3</v>
      </c>
      <c r="P19" s="525">
        <v>9</v>
      </c>
      <c r="Q19" s="525">
        <v>9</v>
      </c>
      <c r="R19" s="525"/>
      <c r="S19" s="525">
        <v>24</v>
      </c>
    </row>
    <row r="20" spans="1:19">
      <c r="A20" s="730" t="s">
        <v>40</v>
      </c>
      <c r="B20" s="731" t="s">
        <v>41</v>
      </c>
      <c r="C20" s="763">
        <v>1</v>
      </c>
      <c r="D20" s="763">
        <v>1</v>
      </c>
      <c r="E20" s="763">
        <v>1</v>
      </c>
      <c r="F20" s="763">
        <v>5</v>
      </c>
      <c r="G20" s="763">
        <v>3</v>
      </c>
      <c r="H20" s="763"/>
      <c r="I20" s="986">
        <f t="shared" si="0"/>
        <v>11</v>
      </c>
      <c r="J20" s="988">
        <f t="shared" si="1"/>
        <v>0.27272727272727271</v>
      </c>
      <c r="L20" s="679" t="s">
        <v>40</v>
      </c>
      <c r="M20" s="679">
        <v>1</v>
      </c>
      <c r="N20" s="679">
        <v>1</v>
      </c>
      <c r="O20" s="679">
        <v>1</v>
      </c>
      <c r="P20" s="679">
        <v>5</v>
      </c>
      <c r="Q20" s="679">
        <v>3</v>
      </c>
      <c r="R20" s="679"/>
      <c r="S20" s="679">
        <v>11</v>
      </c>
    </row>
    <row r="21" spans="1:19" ht="39.6">
      <c r="A21" s="730" t="s">
        <v>42</v>
      </c>
      <c r="B21" s="731" t="s">
        <v>230</v>
      </c>
      <c r="C21" s="763">
        <v>1</v>
      </c>
      <c r="D21" s="763">
        <v>2</v>
      </c>
      <c r="E21" s="763">
        <v>5</v>
      </c>
      <c r="F21" s="763">
        <v>4</v>
      </c>
      <c r="G21" s="763">
        <v>3</v>
      </c>
      <c r="H21" s="763"/>
      <c r="I21" s="986">
        <f t="shared" si="0"/>
        <v>15</v>
      </c>
      <c r="J21" s="988">
        <f t="shared" si="1"/>
        <v>0.2</v>
      </c>
      <c r="L21" s="525" t="s">
        <v>42</v>
      </c>
      <c r="M21" s="525">
        <v>1</v>
      </c>
      <c r="N21" s="525">
        <v>2</v>
      </c>
      <c r="O21" s="525">
        <v>5</v>
      </c>
      <c r="P21" s="525">
        <v>4</v>
      </c>
      <c r="Q21" s="525">
        <v>3</v>
      </c>
      <c r="S21" s="525">
        <v>15</v>
      </c>
    </row>
    <row r="22" spans="1:19">
      <c r="A22" s="730" t="s">
        <v>43</v>
      </c>
      <c r="B22" s="731" t="s">
        <v>44</v>
      </c>
      <c r="C22" s="763"/>
      <c r="D22" s="763"/>
      <c r="E22" s="763">
        <v>2</v>
      </c>
      <c r="F22" s="763">
        <v>6</v>
      </c>
      <c r="G22" s="763">
        <v>7</v>
      </c>
      <c r="H22" s="763"/>
      <c r="I22" s="986">
        <f t="shared" si="0"/>
        <v>15</v>
      </c>
      <c r="J22" s="988">
        <f t="shared" si="1"/>
        <v>0.46666666666666667</v>
      </c>
      <c r="L22" s="679" t="s">
        <v>43</v>
      </c>
      <c r="M22" s="679"/>
      <c r="N22" s="679"/>
      <c r="O22" s="679">
        <v>2</v>
      </c>
      <c r="P22" s="679">
        <v>6</v>
      </c>
      <c r="Q22" s="679">
        <v>7</v>
      </c>
      <c r="R22" s="679"/>
      <c r="S22" s="679">
        <v>15</v>
      </c>
    </row>
    <row r="23" spans="1:19" s="679" customFormat="1">
      <c r="A23" s="730" t="s">
        <v>45</v>
      </c>
      <c r="B23" s="731" t="s">
        <v>320</v>
      </c>
      <c r="C23" s="763"/>
      <c r="D23" s="763"/>
      <c r="E23" s="763"/>
      <c r="F23" s="763">
        <v>1</v>
      </c>
      <c r="G23" s="763">
        <v>5</v>
      </c>
      <c r="H23" s="763"/>
      <c r="I23" s="986">
        <f t="shared" si="0"/>
        <v>6</v>
      </c>
      <c r="J23" s="988">
        <f t="shared" si="1"/>
        <v>0.83333333333333337</v>
      </c>
      <c r="L23" s="679" t="s">
        <v>45</v>
      </c>
      <c r="P23" s="679">
        <v>1</v>
      </c>
      <c r="Q23" s="679">
        <v>5</v>
      </c>
      <c r="S23" s="679">
        <v>6</v>
      </c>
    </row>
    <row r="24" spans="1:19" ht="26.4">
      <c r="A24" s="730" t="s">
        <v>46</v>
      </c>
      <c r="B24" s="731" t="s">
        <v>231</v>
      </c>
      <c r="C24" s="763"/>
      <c r="D24" s="763">
        <v>1</v>
      </c>
      <c r="E24" s="763">
        <v>2</v>
      </c>
      <c r="F24" s="763">
        <v>1</v>
      </c>
      <c r="G24" s="763">
        <v>7</v>
      </c>
      <c r="H24" s="763"/>
      <c r="I24" s="986">
        <f t="shared" si="0"/>
        <v>11</v>
      </c>
      <c r="J24" s="988">
        <f t="shared" si="1"/>
        <v>0.63636363636363635</v>
      </c>
      <c r="L24" s="525" t="s">
        <v>46</v>
      </c>
      <c r="N24" s="525">
        <v>1</v>
      </c>
      <c r="O24" s="525">
        <v>2</v>
      </c>
      <c r="P24" s="525">
        <v>1</v>
      </c>
      <c r="Q24" s="525">
        <v>7</v>
      </c>
      <c r="S24" s="525">
        <v>11</v>
      </c>
    </row>
    <row r="25" spans="1:19" s="679" customFormat="1" ht="26.4">
      <c r="A25" s="730" t="s">
        <v>47</v>
      </c>
      <c r="B25" s="731" t="s">
        <v>232</v>
      </c>
      <c r="C25" s="763"/>
      <c r="D25" s="763">
        <v>3</v>
      </c>
      <c r="E25" s="763">
        <v>1</v>
      </c>
      <c r="F25" s="763">
        <v>6</v>
      </c>
      <c r="G25" s="763">
        <v>5</v>
      </c>
      <c r="H25" s="763">
        <v>1</v>
      </c>
      <c r="I25" s="986">
        <f t="shared" si="0"/>
        <v>16</v>
      </c>
      <c r="J25" s="988">
        <f t="shared" si="1"/>
        <v>0.3125</v>
      </c>
      <c r="L25" s="525" t="s">
        <v>47</v>
      </c>
      <c r="M25" s="525"/>
      <c r="N25" s="525">
        <v>3</v>
      </c>
      <c r="O25" s="525">
        <v>1</v>
      </c>
      <c r="P25" s="525">
        <v>6</v>
      </c>
      <c r="Q25" s="525">
        <v>5</v>
      </c>
      <c r="R25" s="525">
        <v>1</v>
      </c>
      <c r="S25" s="525">
        <v>16</v>
      </c>
    </row>
    <row r="26" spans="1:19" s="679" customFormat="1">
      <c r="A26" s="730" t="s">
        <v>48</v>
      </c>
      <c r="B26" s="731" t="s">
        <v>49</v>
      </c>
      <c r="C26" s="763"/>
      <c r="D26" s="763">
        <v>2</v>
      </c>
      <c r="E26" s="763"/>
      <c r="F26" s="763">
        <v>3</v>
      </c>
      <c r="G26" s="763">
        <v>4</v>
      </c>
      <c r="H26" s="763"/>
      <c r="I26" s="986">
        <f t="shared" si="0"/>
        <v>9</v>
      </c>
      <c r="J26" s="988">
        <f t="shared" si="1"/>
        <v>0.44444444444444442</v>
      </c>
      <c r="L26" s="525" t="s">
        <v>48</v>
      </c>
      <c r="M26" s="525"/>
      <c r="N26" s="525">
        <v>2</v>
      </c>
      <c r="O26" s="525"/>
      <c r="P26" s="525">
        <v>3</v>
      </c>
      <c r="Q26" s="525">
        <v>4</v>
      </c>
      <c r="R26" s="525"/>
      <c r="S26" s="525">
        <v>9</v>
      </c>
    </row>
    <row r="27" spans="1:19">
      <c r="A27" s="730" t="s">
        <v>50</v>
      </c>
      <c r="B27" s="731" t="s">
        <v>51</v>
      </c>
      <c r="C27" s="763"/>
      <c r="D27" s="763"/>
      <c r="E27" s="763">
        <v>1</v>
      </c>
      <c r="F27" s="763">
        <v>1</v>
      </c>
      <c r="G27" s="763">
        <v>5</v>
      </c>
      <c r="H27" s="763"/>
      <c r="I27" s="986">
        <f t="shared" si="0"/>
        <v>7</v>
      </c>
      <c r="J27" s="988">
        <f t="shared" si="1"/>
        <v>0.7142857142857143</v>
      </c>
      <c r="L27" s="525" t="s">
        <v>50</v>
      </c>
      <c r="O27" s="525">
        <v>1</v>
      </c>
      <c r="P27" s="525">
        <v>1</v>
      </c>
      <c r="Q27" s="525">
        <v>5</v>
      </c>
      <c r="S27" s="525">
        <v>7</v>
      </c>
    </row>
    <row r="28" spans="1:19">
      <c r="A28" s="730" t="s">
        <v>52</v>
      </c>
      <c r="B28" s="731" t="s">
        <v>53</v>
      </c>
      <c r="C28" s="763"/>
      <c r="D28" s="763"/>
      <c r="E28" s="763">
        <v>2</v>
      </c>
      <c r="F28" s="763">
        <v>2</v>
      </c>
      <c r="G28" s="763">
        <v>7</v>
      </c>
      <c r="H28" s="763"/>
      <c r="I28" s="986">
        <f t="shared" si="0"/>
        <v>11</v>
      </c>
      <c r="J28" s="988">
        <f t="shared" si="1"/>
        <v>0.63636363636363635</v>
      </c>
      <c r="L28" s="525" t="s">
        <v>52</v>
      </c>
      <c r="O28" s="525">
        <v>2</v>
      </c>
      <c r="P28" s="525">
        <v>2</v>
      </c>
      <c r="Q28" s="525">
        <v>7</v>
      </c>
      <c r="S28" s="525">
        <v>11</v>
      </c>
    </row>
    <row r="29" spans="1:19">
      <c r="A29" s="730">
        <v>26</v>
      </c>
      <c r="B29" s="731" t="s">
        <v>55</v>
      </c>
      <c r="C29" s="763">
        <v>1</v>
      </c>
      <c r="D29" s="1972">
        <v>3</v>
      </c>
      <c r="E29" s="763">
        <v>6</v>
      </c>
      <c r="F29" s="763">
        <v>4</v>
      </c>
      <c r="G29" s="763">
        <v>10</v>
      </c>
      <c r="H29" s="763"/>
      <c r="I29" s="986">
        <f>SUM(C29:H29)</f>
        <v>24</v>
      </c>
      <c r="J29" s="988">
        <f>G29/I29</f>
        <v>0.41666666666666669</v>
      </c>
      <c r="L29" s="525" t="s">
        <v>54</v>
      </c>
      <c r="M29" s="525">
        <v>1</v>
      </c>
      <c r="N29" s="525">
        <v>3</v>
      </c>
      <c r="O29" s="525">
        <v>6</v>
      </c>
      <c r="P29" s="525">
        <v>4</v>
      </c>
      <c r="Q29" s="525">
        <v>10</v>
      </c>
      <c r="S29" s="525">
        <v>24</v>
      </c>
    </row>
    <row r="30" spans="1:19" ht="14.25" customHeight="1">
      <c r="A30" s="730" t="s">
        <v>56</v>
      </c>
      <c r="B30" s="731" t="s">
        <v>57</v>
      </c>
      <c r="C30" s="763">
        <v>1</v>
      </c>
      <c r="D30" s="763">
        <v>3</v>
      </c>
      <c r="E30" s="763">
        <v>2</v>
      </c>
      <c r="F30" s="763">
        <v>8</v>
      </c>
      <c r="G30" s="763">
        <v>14</v>
      </c>
      <c r="H30" s="763"/>
      <c r="I30" s="986">
        <f t="shared" si="0"/>
        <v>28</v>
      </c>
      <c r="J30" s="988">
        <f t="shared" si="1"/>
        <v>0.5</v>
      </c>
      <c r="L30" s="525" t="s">
        <v>56</v>
      </c>
      <c r="M30" s="525">
        <v>1</v>
      </c>
      <c r="N30" s="525">
        <v>3</v>
      </c>
      <c r="O30" s="525">
        <v>2</v>
      </c>
      <c r="P30" s="525">
        <v>8</v>
      </c>
      <c r="Q30" s="525">
        <v>14</v>
      </c>
      <c r="S30" s="525">
        <v>28</v>
      </c>
    </row>
    <row r="31" spans="1:19">
      <c r="A31" s="730" t="s">
        <v>58</v>
      </c>
      <c r="B31" s="731" t="s">
        <v>59</v>
      </c>
      <c r="C31" s="763">
        <v>1</v>
      </c>
      <c r="D31" s="763">
        <v>3</v>
      </c>
      <c r="E31" s="763"/>
      <c r="F31" s="763">
        <v>2</v>
      </c>
      <c r="G31" s="763">
        <v>3</v>
      </c>
      <c r="H31" s="763"/>
      <c r="I31" s="986">
        <f t="shared" si="0"/>
        <v>9</v>
      </c>
      <c r="J31" s="988">
        <f t="shared" si="1"/>
        <v>0.33333333333333331</v>
      </c>
      <c r="L31" s="525" t="s">
        <v>58</v>
      </c>
      <c r="M31" s="525">
        <v>1</v>
      </c>
      <c r="N31" s="525">
        <v>3</v>
      </c>
      <c r="P31" s="525">
        <v>2</v>
      </c>
      <c r="Q31" s="525">
        <v>3</v>
      </c>
      <c r="S31" s="525">
        <v>9</v>
      </c>
    </row>
    <row r="32" spans="1:19">
      <c r="A32" s="730" t="s">
        <v>60</v>
      </c>
      <c r="B32" s="731" t="s">
        <v>61</v>
      </c>
      <c r="C32" s="763">
        <v>2</v>
      </c>
      <c r="D32" s="763">
        <v>3</v>
      </c>
      <c r="E32" s="763"/>
      <c r="F32" s="763">
        <v>1</v>
      </c>
      <c r="G32" s="763"/>
      <c r="H32" s="763"/>
      <c r="I32" s="986">
        <f t="shared" si="0"/>
        <v>6</v>
      </c>
      <c r="J32" s="988">
        <f t="shared" si="1"/>
        <v>0</v>
      </c>
      <c r="L32" s="525" t="s">
        <v>60</v>
      </c>
      <c r="M32" s="525">
        <v>2</v>
      </c>
      <c r="N32" s="525">
        <v>3</v>
      </c>
      <c r="P32" s="525">
        <v>1</v>
      </c>
      <c r="S32" s="525">
        <v>6</v>
      </c>
    </row>
    <row r="33" spans="1:19">
      <c r="A33" s="730" t="s">
        <v>62</v>
      </c>
      <c r="B33" s="731" t="s">
        <v>63</v>
      </c>
      <c r="C33" s="763">
        <v>2</v>
      </c>
      <c r="D33" s="763">
        <v>2</v>
      </c>
      <c r="E33" s="763">
        <v>2</v>
      </c>
      <c r="F33" s="763"/>
      <c r="G33" s="763">
        <v>1</v>
      </c>
      <c r="H33" s="763"/>
      <c r="I33" s="986">
        <f t="shared" si="0"/>
        <v>7</v>
      </c>
      <c r="J33" s="988">
        <f t="shared" si="1"/>
        <v>0.14285714285714285</v>
      </c>
      <c r="L33" s="525" t="s">
        <v>62</v>
      </c>
      <c r="M33" s="525">
        <v>2</v>
      </c>
      <c r="N33" s="525">
        <v>2</v>
      </c>
      <c r="O33" s="525">
        <v>2</v>
      </c>
      <c r="Q33" s="525">
        <v>1</v>
      </c>
      <c r="S33" s="525">
        <v>7</v>
      </c>
    </row>
    <row r="34" spans="1:19">
      <c r="A34" s="730" t="s">
        <v>64</v>
      </c>
      <c r="B34" s="731" t="s">
        <v>65</v>
      </c>
      <c r="C34" s="763">
        <v>4</v>
      </c>
      <c r="D34" s="763">
        <v>1</v>
      </c>
      <c r="E34" s="763"/>
      <c r="F34" s="763">
        <v>3</v>
      </c>
      <c r="G34" s="763">
        <v>4</v>
      </c>
      <c r="H34" s="763"/>
      <c r="I34" s="986">
        <f t="shared" si="0"/>
        <v>12</v>
      </c>
      <c r="J34" s="988">
        <f t="shared" si="1"/>
        <v>0.33333333333333331</v>
      </c>
      <c r="L34" s="525" t="s">
        <v>64</v>
      </c>
      <c r="M34" s="525">
        <v>4</v>
      </c>
      <c r="N34" s="525">
        <v>1</v>
      </c>
      <c r="P34" s="525">
        <v>3</v>
      </c>
      <c r="Q34" s="525">
        <v>4</v>
      </c>
      <c r="S34" s="525">
        <v>12</v>
      </c>
    </row>
    <row r="35" spans="1:19">
      <c r="A35" s="730" t="s">
        <v>66</v>
      </c>
      <c r="B35" s="731" t="s">
        <v>67</v>
      </c>
      <c r="C35" s="763"/>
      <c r="D35" s="763">
        <v>4</v>
      </c>
      <c r="E35" s="763">
        <v>2</v>
      </c>
      <c r="F35" s="763">
        <v>2</v>
      </c>
      <c r="G35" s="763">
        <v>3</v>
      </c>
      <c r="H35" s="763"/>
      <c r="I35" s="986">
        <f t="shared" si="0"/>
        <v>11</v>
      </c>
      <c r="J35" s="988">
        <f t="shared" si="1"/>
        <v>0.27272727272727271</v>
      </c>
      <c r="L35" s="525" t="s">
        <v>66</v>
      </c>
      <c r="N35" s="525">
        <v>4</v>
      </c>
      <c r="O35" s="525">
        <v>2</v>
      </c>
      <c r="P35" s="525">
        <v>2</v>
      </c>
      <c r="Q35" s="525">
        <v>3</v>
      </c>
      <c r="S35" s="525">
        <v>11</v>
      </c>
    </row>
    <row r="36" spans="1:19">
      <c r="A36" s="730" t="s">
        <v>68</v>
      </c>
      <c r="B36" s="731" t="s">
        <v>69</v>
      </c>
      <c r="C36" s="763"/>
      <c r="D36" s="763">
        <v>2</v>
      </c>
      <c r="E36" s="763">
        <v>3</v>
      </c>
      <c r="F36" s="763">
        <v>1</v>
      </c>
      <c r="G36" s="763">
        <v>3</v>
      </c>
      <c r="H36" s="763"/>
      <c r="I36" s="986">
        <f t="shared" si="0"/>
        <v>9</v>
      </c>
      <c r="J36" s="988">
        <f t="shared" si="1"/>
        <v>0.33333333333333331</v>
      </c>
      <c r="L36" s="525" t="s">
        <v>68</v>
      </c>
      <c r="N36" s="525">
        <v>2</v>
      </c>
      <c r="O36" s="525">
        <v>3</v>
      </c>
      <c r="P36" s="525">
        <v>1</v>
      </c>
      <c r="Q36" s="525">
        <v>3</v>
      </c>
      <c r="S36" s="525">
        <v>9</v>
      </c>
    </row>
    <row r="37" spans="1:19">
      <c r="A37" s="730" t="s">
        <v>70</v>
      </c>
      <c r="B37" s="731" t="s">
        <v>71</v>
      </c>
      <c r="C37" s="763"/>
      <c r="D37" s="763">
        <v>1</v>
      </c>
      <c r="E37" s="763"/>
      <c r="F37" s="763"/>
      <c r="G37" s="763">
        <v>2</v>
      </c>
      <c r="H37" s="763">
        <v>2</v>
      </c>
      <c r="I37" s="986">
        <f t="shared" si="0"/>
        <v>5</v>
      </c>
      <c r="J37" s="988">
        <f t="shared" si="1"/>
        <v>0.4</v>
      </c>
      <c r="L37" s="525" t="s">
        <v>70</v>
      </c>
      <c r="N37" s="525">
        <v>1</v>
      </c>
      <c r="Q37" s="525">
        <v>2</v>
      </c>
      <c r="R37" s="525">
        <v>2</v>
      </c>
      <c r="S37" s="525">
        <v>5</v>
      </c>
    </row>
    <row r="38" spans="1:19">
      <c r="A38" s="730" t="s">
        <v>72</v>
      </c>
      <c r="B38" s="731" t="s">
        <v>73</v>
      </c>
      <c r="C38" s="763">
        <v>1</v>
      </c>
      <c r="D38" s="763"/>
      <c r="E38" s="763">
        <v>1</v>
      </c>
      <c r="F38" s="763">
        <v>2</v>
      </c>
      <c r="G38" s="763">
        <v>1</v>
      </c>
      <c r="H38" s="763"/>
      <c r="I38" s="986">
        <f t="shared" si="0"/>
        <v>5</v>
      </c>
      <c r="J38" s="988">
        <f t="shared" si="1"/>
        <v>0.2</v>
      </c>
      <c r="L38" s="525" t="s">
        <v>72</v>
      </c>
      <c r="M38" s="525">
        <v>1</v>
      </c>
      <c r="O38" s="525">
        <v>1</v>
      </c>
      <c r="P38" s="525">
        <v>2</v>
      </c>
      <c r="Q38" s="525">
        <v>1</v>
      </c>
      <c r="S38" s="525">
        <v>5</v>
      </c>
    </row>
    <row r="39" spans="1:19">
      <c r="A39" s="730" t="s">
        <v>74</v>
      </c>
      <c r="B39" s="731" t="s">
        <v>75</v>
      </c>
      <c r="C39" s="763">
        <v>1</v>
      </c>
      <c r="D39" s="763">
        <v>1</v>
      </c>
      <c r="E39" s="763"/>
      <c r="F39" s="763"/>
      <c r="G39" s="763">
        <v>2</v>
      </c>
      <c r="H39" s="763"/>
      <c r="I39" s="986">
        <f t="shared" si="0"/>
        <v>4</v>
      </c>
      <c r="J39" s="988">
        <f t="shared" si="1"/>
        <v>0.5</v>
      </c>
      <c r="L39" s="525" t="s">
        <v>74</v>
      </c>
      <c r="M39" s="525">
        <v>1</v>
      </c>
      <c r="N39" s="525">
        <v>1</v>
      </c>
      <c r="Q39" s="525">
        <v>2</v>
      </c>
      <c r="S39" s="525">
        <v>4</v>
      </c>
    </row>
    <row r="40" spans="1:19">
      <c r="A40" s="730" t="s">
        <v>76</v>
      </c>
      <c r="B40" s="731" t="s">
        <v>77</v>
      </c>
      <c r="C40" s="763"/>
      <c r="D40" s="763"/>
      <c r="E40" s="763">
        <v>1</v>
      </c>
      <c r="F40" s="763">
        <v>1</v>
      </c>
      <c r="G40" s="763"/>
      <c r="H40" s="763"/>
      <c r="I40" s="986">
        <f t="shared" si="0"/>
        <v>2</v>
      </c>
      <c r="J40" s="988">
        <f t="shared" si="1"/>
        <v>0</v>
      </c>
      <c r="L40" s="525" t="s">
        <v>76</v>
      </c>
      <c r="O40" s="525">
        <v>1</v>
      </c>
      <c r="P40" s="525">
        <v>1</v>
      </c>
      <c r="S40" s="525">
        <v>2</v>
      </c>
    </row>
    <row r="41" spans="1:19">
      <c r="A41" s="730" t="s">
        <v>78</v>
      </c>
      <c r="B41" s="731" t="s">
        <v>79</v>
      </c>
      <c r="C41" s="763">
        <v>1</v>
      </c>
      <c r="D41" s="763">
        <v>7</v>
      </c>
      <c r="E41" s="763">
        <v>2</v>
      </c>
      <c r="F41" s="763">
        <v>9</v>
      </c>
      <c r="G41" s="763">
        <v>11</v>
      </c>
      <c r="H41" s="763"/>
      <c r="I41" s="986">
        <f t="shared" si="0"/>
        <v>30</v>
      </c>
      <c r="J41" s="988">
        <f t="shared" si="1"/>
        <v>0.36666666666666664</v>
      </c>
      <c r="L41" s="525" t="s">
        <v>78</v>
      </c>
      <c r="M41" s="525">
        <v>1</v>
      </c>
      <c r="N41" s="525">
        <v>7</v>
      </c>
      <c r="O41" s="525">
        <v>2</v>
      </c>
      <c r="P41" s="525">
        <v>9</v>
      </c>
      <c r="Q41" s="525">
        <v>11</v>
      </c>
      <c r="S41" s="525">
        <v>30</v>
      </c>
    </row>
    <row r="42" spans="1:19">
      <c r="A42" s="730" t="s">
        <v>80</v>
      </c>
      <c r="B42" s="731" t="s">
        <v>81</v>
      </c>
      <c r="C42" s="763"/>
      <c r="D42" s="763">
        <v>1</v>
      </c>
      <c r="E42" s="763">
        <v>3</v>
      </c>
      <c r="F42" s="763">
        <v>8</v>
      </c>
      <c r="G42" s="763">
        <v>3</v>
      </c>
      <c r="H42" s="763">
        <v>1</v>
      </c>
      <c r="I42" s="986">
        <f t="shared" si="0"/>
        <v>16</v>
      </c>
      <c r="J42" s="988">
        <f t="shared" si="1"/>
        <v>0.1875</v>
      </c>
      <c r="L42" s="525" t="s">
        <v>80</v>
      </c>
      <c r="N42" s="525">
        <v>1</v>
      </c>
      <c r="O42" s="525">
        <v>3</v>
      </c>
      <c r="P42" s="525">
        <v>8</v>
      </c>
      <c r="Q42" s="525">
        <v>3</v>
      </c>
      <c r="R42" s="525">
        <v>1</v>
      </c>
      <c r="S42" s="525">
        <v>16</v>
      </c>
    </row>
    <row r="43" spans="1:19">
      <c r="A43" s="730" t="s">
        <v>82</v>
      </c>
      <c r="B43" s="731" t="s">
        <v>83</v>
      </c>
      <c r="C43" s="763"/>
      <c r="D43" s="763">
        <v>2</v>
      </c>
      <c r="E43" s="763">
        <v>5</v>
      </c>
      <c r="F43" s="763">
        <v>2</v>
      </c>
      <c r="G43" s="763">
        <v>6</v>
      </c>
      <c r="H43" s="763"/>
      <c r="I43" s="986">
        <f t="shared" si="0"/>
        <v>15</v>
      </c>
      <c r="J43" s="988">
        <f t="shared" si="1"/>
        <v>0.4</v>
      </c>
      <c r="L43" s="525" t="s">
        <v>82</v>
      </c>
      <c r="N43" s="525">
        <v>2</v>
      </c>
      <c r="O43" s="525">
        <v>5</v>
      </c>
      <c r="P43" s="525">
        <v>2</v>
      </c>
      <c r="Q43" s="525">
        <v>6</v>
      </c>
      <c r="S43" s="525">
        <v>15</v>
      </c>
    </row>
    <row r="44" spans="1:19">
      <c r="A44" s="730" t="s">
        <v>84</v>
      </c>
      <c r="B44" s="675" t="s">
        <v>355</v>
      </c>
      <c r="C44" s="763"/>
      <c r="D44" s="763">
        <v>5</v>
      </c>
      <c r="E44" s="763">
        <v>3</v>
      </c>
      <c r="F44" s="763">
        <v>6</v>
      </c>
      <c r="G44" s="763"/>
      <c r="H44" s="763"/>
      <c r="I44" s="986">
        <f t="shared" si="0"/>
        <v>14</v>
      </c>
      <c r="J44" s="988">
        <f t="shared" si="1"/>
        <v>0</v>
      </c>
      <c r="L44" s="525" t="s">
        <v>84</v>
      </c>
      <c r="N44" s="525">
        <v>5</v>
      </c>
      <c r="O44" s="525">
        <v>3</v>
      </c>
      <c r="P44" s="525">
        <v>6</v>
      </c>
      <c r="S44" s="525">
        <v>14</v>
      </c>
    </row>
    <row r="45" spans="1:19">
      <c r="A45" s="730" t="s">
        <v>85</v>
      </c>
      <c r="B45" s="220" t="s">
        <v>86</v>
      </c>
      <c r="C45" s="763">
        <v>3</v>
      </c>
      <c r="D45" s="763">
        <v>5</v>
      </c>
      <c r="E45" s="763"/>
      <c r="F45" s="763">
        <v>4</v>
      </c>
      <c r="G45" s="763">
        <v>5</v>
      </c>
      <c r="H45" s="763"/>
      <c r="I45" s="986">
        <f t="shared" si="0"/>
        <v>17</v>
      </c>
      <c r="J45" s="988">
        <f t="shared" si="1"/>
        <v>0.29411764705882354</v>
      </c>
      <c r="L45" s="525" t="s">
        <v>85</v>
      </c>
      <c r="M45" s="525">
        <v>3</v>
      </c>
      <c r="N45" s="525">
        <v>5</v>
      </c>
      <c r="P45" s="525">
        <v>4</v>
      </c>
      <c r="Q45" s="525">
        <v>5</v>
      </c>
      <c r="S45" s="525">
        <v>17</v>
      </c>
    </row>
    <row r="46" spans="1:19">
      <c r="A46" s="730" t="s">
        <v>87</v>
      </c>
      <c r="B46" s="220" t="s">
        <v>88</v>
      </c>
      <c r="C46" s="763"/>
      <c r="D46" s="763">
        <v>2</v>
      </c>
      <c r="E46" s="763">
        <v>1</v>
      </c>
      <c r="F46" s="763">
        <v>2</v>
      </c>
      <c r="G46" s="763">
        <v>2</v>
      </c>
      <c r="H46" s="763"/>
      <c r="I46" s="986">
        <f t="shared" si="0"/>
        <v>7</v>
      </c>
      <c r="J46" s="988">
        <f t="shared" si="1"/>
        <v>0.2857142857142857</v>
      </c>
      <c r="L46" s="525" t="s">
        <v>87</v>
      </c>
      <c r="N46" s="525">
        <v>2</v>
      </c>
      <c r="O46" s="525">
        <v>1</v>
      </c>
      <c r="P46" s="525">
        <v>2</v>
      </c>
      <c r="Q46" s="525">
        <v>2</v>
      </c>
      <c r="S46" s="525">
        <v>7</v>
      </c>
    </row>
    <row r="47" spans="1:19">
      <c r="A47" s="730" t="s">
        <v>89</v>
      </c>
      <c r="B47" s="220" t="s">
        <v>90</v>
      </c>
      <c r="C47" s="763"/>
      <c r="D47" s="763"/>
      <c r="E47" s="763">
        <v>2</v>
      </c>
      <c r="F47" s="763">
        <v>1</v>
      </c>
      <c r="G47" s="763">
        <v>1</v>
      </c>
      <c r="H47" s="763">
        <v>1</v>
      </c>
      <c r="I47" s="986">
        <f t="shared" si="0"/>
        <v>5</v>
      </c>
      <c r="J47" s="988">
        <f t="shared" si="1"/>
        <v>0.2</v>
      </c>
      <c r="L47" s="525" t="s">
        <v>89</v>
      </c>
      <c r="O47" s="525">
        <v>2</v>
      </c>
      <c r="P47" s="525">
        <v>1</v>
      </c>
      <c r="Q47" s="525">
        <v>1</v>
      </c>
      <c r="R47" s="525">
        <v>1</v>
      </c>
      <c r="S47" s="525">
        <v>5</v>
      </c>
    </row>
    <row r="48" spans="1:19">
      <c r="A48" s="730" t="s">
        <v>91</v>
      </c>
      <c r="B48" s="731" t="s">
        <v>92</v>
      </c>
      <c r="C48" s="763"/>
      <c r="D48" s="763">
        <v>1</v>
      </c>
      <c r="E48" s="763">
        <v>2</v>
      </c>
      <c r="F48" s="763">
        <v>1</v>
      </c>
      <c r="G48" s="763">
        <v>2</v>
      </c>
      <c r="H48" s="763"/>
      <c r="I48" s="986">
        <f t="shared" si="0"/>
        <v>6</v>
      </c>
      <c r="J48" s="988">
        <f t="shared" si="1"/>
        <v>0.33333333333333331</v>
      </c>
      <c r="L48" s="525" t="s">
        <v>91</v>
      </c>
      <c r="N48" s="525">
        <v>1</v>
      </c>
      <c r="O48" s="525">
        <v>2</v>
      </c>
      <c r="P48" s="525">
        <v>1</v>
      </c>
      <c r="Q48" s="525">
        <v>2</v>
      </c>
      <c r="S48" s="525">
        <v>6</v>
      </c>
    </row>
    <row r="49" spans="1:20">
      <c r="A49" s="730" t="s">
        <v>93</v>
      </c>
      <c r="B49" s="731" t="s">
        <v>94</v>
      </c>
      <c r="C49" s="763"/>
      <c r="D49" s="763"/>
      <c r="E49" s="763"/>
      <c r="F49" s="763">
        <v>1</v>
      </c>
      <c r="G49" s="763">
        <v>1</v>
      </c>
      <c r="H49" s="763"/>
      <c r="I49" s="986">
        <f t="shared" si="0"/>
        <v>2</v>
      </c>
      <c r="J49" s="988">
        <f t="shared" si="1"/>
        <v>0.5</v>
      </c>
      <c r="L49" s="525" t="s">
        <v>93</v>
      </c>
      <c r="P49" s="525">
        <v>1</v>
      </c>
      <c r="Q49" s="525">
        <v>1</v>
      </c>
      <c r="S49" s="525">
        <v>2</v>
      </c>
    </row>
    <row r="50" spans="1:20">
      <c r="A50" s="730" t="s">
        <v>95</v>
      </c>
      <c r="B50" s="731" t="s">
        <v>96</v>
      </c>
      <c r="C50" s="763"/>
      <c r="D50" s="763"/>
      <c r="E50" s="763"/>
      <c r="F50" s="763">
        <v>1</v>
      </c>
      <c r="G50" s="763">
        <v>1</v>
      </c>
      <c r="H50" s="763">
        <v>1</v>
      </c>
      <c r="I50" s="986">
        <f t="shared" si="0"/>
        <v>3</v>
      </c>
      <c r="J50" s="988">
        <f t="shared" si="1"/>
        <v>0.33333333333333331</v>
      </c>
      <c r="L50" s="525" t="s">
        <v>95</v>
      </c>
      <c r="P50" s="525">
        <v>1</v>
      </c>
      <c r="Q50" s="525">
        <v>1</v>
      </c>
      <c r="R50" s="525">
        <v>1</v>
      </c>
      <c r="S50" s="525">
        <v>3</v>
      </c>
    </row>
    <row r="51" spans="1:20">
      <c r="A51" s="730" t="s">
        <v>97</v>
      </c>
      <c r="B51" s="731" t="s">
        <v>98</v>
      </c>
      <c r="C51" s="763"/>
      <c r="D51" s="763"/>
      <c r="E51" s="763">
        <v>3</v>
      </c>
      <c r="F51" s="763">
        <v>3</v>
      </c>
      <c r="G51" s="763">
        <v>8</v>
      </c>
      <c r="H51" s="763"/>
      <c r="I51" s="986">
        <f t="shared" si="0"/>
        <v>14</v>
      </c>
      <c r="J51" s="988">
        <f t="shared" si="1"/>
        <v>0.5714285714285714</v>
      </c>
      <c r="L51" s="525" t="s">
        <v>97</v>
      </c>
      <c r="O51" s="525">
        <v>3</v>
      </c>
      <c r="P51" s="525">
        <v>3</v>
      </c>
      <c r="Q51" s="525">
        <v>8</v>
      </c>
      <c r="S51" s="525">
        <v>14</v>
      </c>
    </row>
    <row r="52" spans="1:20">
      <c r="A52" s="730" t="s">
        <v>99</v>
      </c>
      <c r="B52" s="731" t="s">
        <v>100</v>
      </c>
      <c r="C52" s="763"/>
      <c r="D52" s="763">
        <v>2</v>
      </c>
      <c r="E52" s="763"/>
      <c r="F52" s="763">
        <v>4</v>
      </c>
      <c r="G52" s="763">
        <v>8</v>
      </c>
      <c r="H52" s="763"/>
      <c r="I52" s="986">
        <f t="shared" si="0"/>
        <v>14</v>
      </c>
      <c r="J52" s="988">
        <f t="shared" si="1"/>
        <v>0.5714285714285714</v>
      </c>
      <c r="L52" s="525" t="s">
        <v>99</v>
      </c>
      <c r="N52" s="525">
        <v>2</v>
      </c>
      <c r="P52" s="525">
        <v>4</v>
      </c>
      <c r="Q52" s="525">
        <v>8</v>
      </c>
      <c r="S52" s="525">
        <v>14</v>
      </c>
    </row>
    <row r="53" spans="1:20">
      <c r="A53" s="730" t="s">
        <v>103</v>
      </c>
      <c r="B53" s="731" t="s">
        <v>104</v>
      </c>
      <c r="C53" s="763">
        <v>1</v>
      </c>
      <c r="D53" s="763">
        <v>1</v>
      </c>
      <c r="E53" s="763">
        <v>4</v>
      </c>
      <c r="F53" s="763">
        <v>2</v>
      </c>
      <c r="G53" s="763">
        <v>1</v>
      </c>
      <c r="H53" s="763"/>
      <c r="I53" s="986">
        <f t="shared" si="0"/>
        <v>9</v>
      </c>
      <c r="J53" s="988">
        <f t="shared" si="1"/>
        <v>0.1111111111111111</v>
      </c>
      <c r="L53" s="525" t="s">
        <v>103</v>
      </c>
      <c r="M53" s="525">
        <v>1</v>
      </c>
      <c r="N53" s="525">
        <v>1</v>
      </c>
      <c r="O53" s="525">
        <v>4</v>
      </c>
      <c r="P53" s="525">
        <v>2</v>
      </c>
      <c r="Q53" s="525">
        <v>1</v>
      </c>
      <c r="S53" s="525">
        <v>9</v>
      </c>
    </row>
    <row r="54" spans="1:20">
      <c r="A54" s="765" t="s">
        <v>517</v>
      </c>
      <c r="B54" s="766" t="s">
        <v>518</v>
      </c>
      <c r="C54" s="764"/>
      <c r="D54" s="764"/>
      <c r="E54" s="764"/>
      <c r="F54" s="764"/>
      <c r="G54" s="764">
        <v>1</v>
      </c>
      <c r="H54" s="764"/>
      <c r="I54" s="986">
        <f t="shared" si="0"/>
        <v>1</v>
      </c>
      <c r="J54" s="988">
        <f t="shared" si="1"/>
        <v>1</v>
      </c>
      <c r="L54" s="525" t="s">
        <v>517</v>
      </c>
      <c r="Q54" s="525">
        <v>1</v>
      </c>
      <c r="S54" s="525">
        <v>1</v>
      </c>
    </row>
    <row r="55" spans="1:20">
      <c r="A55" s="802" t="s">
        <v>519</v>
      </c>
      <c r="B55" s="803" t="s">
        <v>520</v>
      </c>
      <c r="C55" s="764"/>
      <c r="D55" s="764">
        <v>1</v>
      </c>
      <c r="E55" s="764">
        <v>2</v>
      </c>
      <c r="F55" s="764">
        <v>5</v>
      </c>
      <c r="G55" s="764">
        <v>1</v>
      </c>
      <c r="H55" s="764"/>
      <c r="I55" s="986">
        <f t="shared" si="0"/>
        <v>9</v>
      </c>
      <c r="J55" s="988">
        <f t="shared" si="1"/>
        <v>0.1111111111111111</v>
      </c>
      <c r="L55" s="525" t="s">
        <v>519</v>
      </c>
      <c r="N55" s="525">
        <v>1</v>
      </c>
      <c r="O55" s="525">
        <v>2</v>
      </c>
      <c r="P55" s="525">
        <v>5</v>
      </c>
      <c r="Q55" s="525">
        <v>1</v>
      </c>
      <c r="S55" s="525">
        <v>9</v>
      </c>
    </row>
    <row r="56" spans="1:20" ht="13.8" thickBot="1">
      <c r="A56" s="737" t="s">
        <v>521</v>
      </c>
      <c r="B56" s="738" t="s">
        <v>522</v>
      </c>
      <c r="C56" s="767"/>
      <c r="D56" s="767">
        <v>3</v>
      </c>
      <c r="E56" s="767"/>
      <c r="F56" s="767">
        <v>2</v>
      </c>
      <c r="G56" s="767">
        <v>1</v>
      </c>
      <c r="H56" s="767">
        <v>1</v>
      </c>
      <c r="I56" s="989">
        <f t="shared" si="0"/>
        <v>7</v>
      </c>
      <c r="J56" s="990">
        <f t="shared" si="1"/>
        <v>0.14285714285714285</v>
      </c>
      <c r="L56" s="525" t="s">
        <v>521</v>
      </c>
      <c r="N56" s="525">
        <v>3</v>
      </c>
      <c r="P56" s="525">
        <v>2</v>
      </c>
      <c r="Q56" s="525">
        <v>1</v>
      </c>
      <c r="R56" s="525">
        <v>1</v>
      </c>
      <c r="S56" s="525">
        <v>7</v>
      </c>
    </row>
    <row r="57" spans="1:20" ht="13.8" thickBot="1">
      <c r="A57" s="768"/>
      <c r="B57" s="769"/>
      <c r="C57" s="757"/>
      <c r="D57" s="757"/>
      <c r="E57" s="757"/>
      <c r="F57" s="757"/>
      <c r="G57" s="757"/>
      <c r="H57" s="757"/>
      <c r="I57" s="757"/>
      <c r="J57" s="757"/>
      <c r="L57" s="525" t="s">
        <v>382</v>
      </c>
      <c r="M57" s="525">
        <v>24</v>
      </c>
      <c r="N57" s="525">
        <v>70</v>
      </c>
      <c r="O57" s="525">
        <v>71</v>
      </c>
      <c r="P57" s="525">
        <v>134</v>
      </c>
      <c r="Q57" s="525">
        <v>197</v>
      </c>
      <c r="R57" s="525">
        <v>10</v>
      </c>
      <c r="S57" s="525">
        <v>506</v>
      </c>
    </row>
    <row r="58" spans="1:20" ht="14.4" thickBot="1">
      <c r="A58" s="770"/>
      <c r="B58" s="746" t="s">
        <v>105</v>
      </c>
      <c r="C58" s="801">
        <f t="shared" ref="C58:H58" si="2">SUM(C9:C56)</f>
        <v>23</v>
      </c>
      <c r="D58" s="801">
        <f t="shared" si="2"/>
        <v>70</v>
      </c>
      <c r="E58" s="801">
        <f>SUM(E9:E56)</f>
        <v>71</v>
      </c>
      <c r="F58" s="801">
        <f>SUM(F9:F56)</f>
        <v>134</v>
      </c>
      <c r="G58" s="801">
        <f t="shared" si="2"/>
        <v>197</v>
      </c>
      <c r="H58" s="801">
        <f t="shared" si="2"/>
        <v>10</v>
      </c>
      <c r="I58" s="801">
        <f>SUM(I9:I56)</f>
        <v>505</v>
      </c>
      <c r="J58" s="1822">
        <f>G58/I58</f>
        <v>0.39009900990099011</v>
      </c>
    </row>
    <row r="59" spans="1:20" ht="14.4" thickBot="1">
      <c r="A59" s="552" t="str">
        <f>'fiche technique'!A14</f>
        <v>Source: GALAXIE (ANTEE), DGRH A1-1 &amp; DGRH A2, juin 2014</v>
      </c>
      <c r="B59" s="771"/>
      <c r="C59" s="798">
        <f t="shared" ref="C59:I59" si="3">C58/$I$58</f>
        <v>4.5544554455445543E-2</v>
      </c>
      <c r="D59" s="799">
        <f>D58/$I$58</f>
        <v>0.13861386138613863</v>
      </c>
      <c r="E59" s="799">
        <f>E58/$I$58</f>
        <v>0.14059405940594061</v>
      </c>
      <c r="F59" s="799">
        <f>F58/$I$58</f>
        <v>0.26534653465346536</v>
      </c>
      <c r="G59" s="799">
        <f>G58/$I$58</f>
        <v>0.39009900990099011</v>
      </c>
      <c r="H59" s="799">
        <f t="shared" si="3"/>
        <v>1.9801980198019802E-2</v>
      </c>
      <c r="I59" s="800">
        <f t="shared" si="3"/>
        <v>1</v>
      </c>
      <c r="J59" s="772"/>
    </row>
    <row r="60" spans="1:20" ht="13.8">
      <c r="A60" s="753" t="str">
        <f>"* Pourcentage des qualifiés en "&amp;'fiche technique'!A15&amp;" par rapport au total."</f>
        <v>* Pourcentage des qualifiés en 2014 par rapport au total.</v>
      </c>
      <c r="B60" s="679"/>
      <c r="C60" s="774"/>
      <c r="D60" s="774"/>
      <c r="E60" s="774"/>
      <c r="F60" s="774"/>
      <c r="G60" s="774"/>
      <c r="H60" s="774"/>
      <c r="I60" s="774"/>
      <c r="J60" s="774"/>
      <c r="L60" s="756"/>
      <c r="M60" s="756"/>
      <c r="N60" s="756"/>
      <c r="O60" s="756"/>
      <c r="P60" s="756"/>
      <c r="Q60" s="756"/>
      <c r="R60" s="756"/>
      <c r="S60" s="756"/>
    </row>
    <row r="61" spans="1:20">
      <c r="A61" s="860" t="s">
        <v>575</v>
      </c>
      <c r="L61" s="773"/>
      <c r="M61" s="773"/>
      <c r="N61" s="1764">
        <f>134/495</f>
        <v>0.27070707070707073</v>
      </c>
      <c r="O61" s="773"/>
      <c r="P61" s="773"/>
      <c r="Q61" s="773"/>
      <c r="R61" s="773"/>
      <c r="S61" s="773"/>
    </row>
    <row r="62" spans="1:20">
      <c r="L62" s="525">
        <f>E58/495</f>
        <v>0.14343434343434344</v>
      </c>
      <c r="O62" s="1198">
        <f>197/495</f>
        <v>0.39797979797979799</v>
      </c>
      <c r="T62" s="525">
        <f>222/480</f>
        <v>0.46250000000000002</v>
      </c>
    </row>
    <row r="63" spans="1:20" s="756" customFormat="1" ht="15.75" customHeight="1">
      <c r="A63" s="525"/>
      <c r="B63" s="525"/>
      <c r="C63" s="525"/>
      <c r="D63" s="525"/>
      <c r="E63" s="525"/>
      <c r="F63" s="525"/>
      <c r="G63" s="525"/>
      <c r="H63" s="525"/>
      <c r="I63" s="525"/>
      <c r="J63" s="525"/>
      <c r="L63" s="525"/>
      <c r="M63" s="525"/>
      <c r="N63" s="525"/>
      <c r="O63" s="525"/>
      <c r="P63" s="525"/>
      <c r="Q63" s="525"/>
      <c r="R63" s="525"/>
      <c r="S63" s="525"/>
    </row>
    <row r="64" spans="1:20" s="773" customFormat="1" ht="15.75" customHeight="1">
      <c r="A64" s="525"/>
      <c r="B64" s="525"/>
      <c r="C64" s="525"/>
      <c r="D64" s="525"/>
      <c r="E64" s="525"/>
      <c r="F64" s="525"/>
      <c r="G64" s="525"/>
      <c r="H64" s="525"/>
      <c r="I64" s="525"/>
      <c r="J64" s="525"/>
      <c r="L64" s="525"/>
      <c r="M64" s="525"/>
      <c r="N64" s="525"/>
      <c r="O64" s="525"/>
      <c r="P64" s="525"/>
      <c r="Q64" s="525"/>
      <c r="R64" s="525"/>
      <c r="S64" s="525"/>
    </row>
  </sheetData>
  <mergeCells count="3">
    <mergeCell ref="A2:J2"/>
    <mergeCell ref="A4:J4"/>
    <mergeCell ref="A5:J5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Feuil51">
    <tabColor rgb="FFFFFF66"/>
    <pageSetUpPr fitToPage="1"/>
  </sheetPr>
  <dimension ref="A1:P74"/>
  <sheetViews>
    <sheetView showZeros="0" workbookViewId="0">
      <selection activeCell="L18" sqref="L18"/>
    </sheetView>
  </sheetViews>
  <sheetFormatPr baseColWidth="10" defaultColWidth="11.44140625" defaultRowHeight="13.2"/>
  <cols>
    <col min="1" max="1" width="7.109375" style="525" customWidth="1"/>
    <col min="2" max="2" width="67.5546875" style="525" customWidth="1"/>
    <col min="3" max="7" width="10.88671875" style="525" customWidth="1"/>
    <col min="8" max="8" width="4.5546875" style="525" customWidth="1"/>
    <col min="9" max="16384" width="11.44140625" style="525"/>
  </cols>
  <sheetData>
    <row r="1" spans="1:7" ht="15" customHeight="1"/>
    <row r="2" spans="1:7" ht="24" customHeight="1">
      <c r="A2" s="2073" t="str">
        <f>'fiche technique'!A4</f>
        <v>Bilan de la campagne 2014 de recrutement et d'affectation des maîtres de conférences (session synchronisée - ANTEE)</v>
      </c>
      <c r="B2" s="2073"/>
      <c r="C2" s="2073"/>
      <c r="D2" s="2073"/>
      <c r="E2" s="2073"/>
      <c r="F2" s="2073"/>
      <c r="G2" s="2073"/>
    </row>
    <row r="3" spans="1:7" ht="15" customHeight="1"/>
    <row r="4" spans="1:7" ht="20.25" customHeight="1">
      <c r="A4" s="2104" t="s">
        <v>303</v>
      </c>
      <c r="B4" s="2104"/>
      <c r="C4" s="2104"/>
      <c r="D4" s="2104"/>
      <c r="E4" s="2104"/>
      <c r="F4" s="2104"/>
      <c r="G4" s="2104"/>
    </row>
    <row r="5" spans="1:7" ht="20.25" customHeight="1">
      <c r="A5" s="2160" t="s">
        <v>734</v>
      </c>
      <c r="B5" s="2104"/>
      <c r="C5" s="2104"/>
      <c r="D5" s="2104"/>
      <c r="E5" s="2104"/>
      <c r="F5" s="2104"/>
      <c r="G5" s="2104"/>
    </row>
    <row r="6" spans="1:7" ht="15" customHeight="1" thickBot="1"/>
    <row r="7" spans="1:7" ht="15" customHeight="1" thickBot="1">
      <c r="A7" s="758"/>
      <c r="B7" s="523"/>
      <c r="E7" s="2161" t="s">
        <v>166</v>
      </c>
      <c r="F7" s="2117"/>
      <c r="G7" s="2162"/>
    </row>
    <row r="8" spans="1:7" ht="63" customHeight="1">
      <c r="A8" s="1891" t="s">
        <v>8</v>
      </c>
      <c r="B8" s="1895" t="s">
        <v>125</v>
      </c>
      <c r="C8" s="775" t="s">
        <v>1009</v>
      </c>
      <c r="D8" s="775" t="s">
        <v>1008</v>
      </c>
      <c r="E8" s="776" t="s">
        <v>167</v>
      </c>
      <c r="F8" s="776" t="s">
        <v>732</v>
      </c>
      <c r="G8" s="777" t="s">
        <v>1017</v>
      </c>
    </row>
    <row r="9" spans="1:7">
      <c r="A9" s="727" t="s">
        <v>9</v>
      </c>
      <c r="B9" s="728" t="s">
        <v>10</v>
      </c>
      <c r="C9" s="673">
        <v>1</v>
      </c>
      <c r="D9" s="673">
        <v>0</v>
      </c>
      <c r="E9" s="673"/>
      <c r="F9" s="673"/>
      <c r="G9" s="778"/>
    </row>
    <row r="10" spans="1:7">
      <c r="A10" s="730" t="s">
        <v>11</v>
      </c>
      <c r="B10" s="731" t="s">
        <v>12</v>
      </c>
      <c r="C10" s="674">
        <v>1</v>
      </c>
      <c r="D10" s="674">
        <v>0</v>
      </c>
      <c r="E10" s="674"/>
      <c r="F10" s="763"/>
      <c r="G10" s="779"/>
    </row>
    <row r="11" spans="1:7" ht="12.75" customHeight="1">
      <c r="A11" s="730" t="s">
        <v>13</v>
      </c>
      <c r="B11" s="731" t="s">
        <v>14</v>
      </c>
      <c r="C11" s="674">
        <v>0</v>
      </c>
      <c r="D11" s="674">
        <v>0</v>
      </c>
      <c r="E11" s="763"/>
      <c r="F11" s="674"/>
      <c r="G11" s="779"/>
    </row>
    <row r="12" spans="1:7">
      <c r="A12" s="730" t="s">
        <v>15</v>
      </c>
      <c r="B12" s="731" t="s">
        <v>16</v>
      </c>
      <c r="C12" s="674">
        <v>3</v>
      </c>
      <c r="D12" s="674">
        <v>1</v>
      </c>
      <c r="E12" s="674"/>
      <c r="F12" s="674"/>
      <c r="G12" s="779">
        <v>0</v>
      </c>
    </row>
    <row r="13" spans="1:7">
      <c r="A13" s="730" t="s">
        <v>17</v>
      </c>
      <c r="B13" s="731" t="s">
        <v>18</v>
      </c>
      <c r="C13" s="674">
        <v>8</v>
      </c>
      <c r="D13" s="674">
        <v>3</v>
      </c>
      <c r="E13" s="674">
        <v>2</v>
      </c>
      <c r="F13" s="674"/>
      <c r="G13" s="779">
        <f t="shared" ref="G13:G65" si="0">F13/D13</f>
        <v>0</v>
      </c>
    </row>
    <row r="14" spans="1:7">
      <c r="A14" s="730" t="s">
        <v>19</v>
      </c>
      <c r="B14" s="731" t="s">
        <v>20</v>
      </c>
      <c r="C14" s="674">
        <v>9</v>
      </c>
      <c r="D14" s="674">
        <v>5</v>
      </c>
      <c r="E14" s="674">
        <v>1</v>
      </c>
      <c r="F14" s="674">
        <v>1</v>
      </c>
      <c r="G14" s="779"/>
    </row>
    <row r="15" spans="1:7">
      <c r="A15" s="730" t="s">
        <v>21</v>
      </c>
      <c r="B15" s="731" t="s">
        <v>22</v>
      </c>
      <c r="C15" s="780">
        <v>78</v>
      </c>
      <c r="D15" s="780">
        <v>62</v>
      </c>
      <c r="E15" s="674">
        <v>21</v>
      </c>
      <c r="F15" s="780">
        <v>15</v>
      </c>
      <c r="G15" s="781">
        <f t="shared" si="0"/>
        <v>0.24193548387096775</v>
      </c>
    </row>
    <row r="16" spans="1:7">
      <c r="A16" s="730" t="s">
        <v>23</v>
      </c>
      <c r="B16" s="731" t="s">
        <v>24</v>
      </c>
      <c r="C16" s="780">
        <v>22</v>
      </c>
      <c r="D16" s="780">
        <v>18</v>
      </c>
      <c r="E16" s="674">
        <v>2</v>
      </c>
      <c r="F16" s="780">
        <v>2</v>
      </c>
      <c r="G16" s="781">
        <f t="shared" si="0"/>
        <v>0.1111111111111111</v>
      </c>
    </row>
    <row r="17" spans="1:16">
      <c r="A17" s="730" t="s">
        <v>25</v>
      </c>
      <c r="B17" s="731" t="s">
        <v>26</v>
      </c>
      <c r="C17" s="780">
        <v>40</v>
      </c>
      <c r="D17" s="780">
        <v>34</v>
      </c>
      <c r="E17" s="674">
        <v>17</v>
      </c>
      <c r="F17" s="780">
        <v>6</v>
      </c>
      <c r="G17" s="781">
        <f t="shared" si="0"/>
        <v>0.17647058823529413</v>
      </c>
    </row>
    <row r="18" spans="1:16">
      <c r="A18" s="730" t="s">
        <v>27</v>
      </c>
      <c r="B18" s="731" t="s">
        <v>28</v>
      </c>
      <c r="C18" s="780">
        <v>17</v>
      </c>
      <c r="D18" s="780">
        <v>15</v>
      </c>
      <c r="E18" s="674">
        <v>2</v>
      </c>
      <c r="F18" s="780">
        <v>1</v>
      </c>
      <c r="G18" s="781">
        <f t="shared" si="0"/>
        <v>6.6666666666666666E-2</v>
      </c>
    </row>
    <row r="19" spans="1:16">
      <c r="A19" s="730" t="s">
        <v>29</v>
      </c>
      <c r="B19" s="731" t="s">
        <v>30</v>
      </c>
      <c r="C19" s="780">
        <v>37</v>
      </c>
      <c r="D19" s="780">
        <v>29</v>
      </c>
      <c r="E19" s="674">
        <v>19</v>
      </c>
      <c r="F19" s="780">
        <v>9</v>
      </c>
      <c r="G19" s="781">
        <f t="shared" si="0"/>
        <v>0.31034482758620691</v>
      </c>
    </row>
    <row r="20" spans="1:16">
      <c r="A20" s="730" t="s">
        <v>31</v>
      </c>
      <c r="B20" s="731" t="s">
        <v>32</v>
      </c>
      <c r="C20" s="780">
        <v>16</v>
      </c>
      <c r="D20" s="780">
        <v>9</v>
      </c>
      <c r="E20" s="674">
        <v>4</v>
      </c>
      <c r="F20" s="780">
        <v>2</v>
      </c>
      <c r="G20" s="781">
        <f t="shared" si="0"/>
        <v>0.22222222222222221</v>
      </c>
    </row>
    <row r="21" spans="1:16">
      <c r="A21" s="730" t="s">
        <v>33</v>
      </c>
      <c r="B21" s="731" t="s">
        <v>34</v>
      </c>
      <c r="C21" s="780">
        <v>5</v>
      </c>
      <c r="D21" s="780">
        <v>2</v>
      </c>
      <c r="E21" s="674"/>
      <c r="F21" s="780"/>
      <c r="G21" s="781">
        <f t="shared" si="0"/>
        <v>0</v>
      </c>
      <c r="N21" s="525">
        <f>16/21</f>
        <v>0.76190476190476186</v>
      </c>
    </row>
    <row r="22" spans="1:16">
      <c r="A22" s="730" t="s">
        <v>35</v>
      </c>
      <c r="B22" s="731" t="s">
        <v>36</v>
      </c>
      <c r="C22" s="780">
        <v>25</v>
      </c>
      <c r="D22" s="780">
        <v>20</v>
      </c>
      <c r="E22" s="674">
        <v>16</v>
      </c>
      <c r="F22" s="780">
        <v>8</v>
      </c>
      <c r="G22" s="781">
        <f t="shared" si="0"/>
        <v>0.4</v>
      </c>
    </row>
    <row r="23" spans="1:16" s="679" customFormat="1" ht="26.4">
      <c r="A23" s="730" t="s">
        <v>37</v>
      </c>
      <c r="B23" s="731" t="s">
        <v>122</v>
      </c>
      <c r="C23" s="780">
        <v>18</v>
      </c>
      <c r="D23" s="780">
        <v>17</v>
      </c>
      <c r="E23" s="674">
        <v>5</v>
      </c>
      <c r="F23" s="780">
        <v>3</v>
      </c>
      <c r="G23" s="781">
        <f t="shared" si="0"/>
        <v>0.17647058823529413</v>
      </c>
      <c r="J23" s="525"/>
      <c r="K23" s="525"/>
      <c r="P23" s="679">
        <f>8/14</f>
        <v>0.5714285714285714</v>
      </c>
    </row>
    <row r="24" spans="1:16">
      <c r="A24" s="730" t="s">
        <v>38</v>
      </c>
      <c r="B24" s="731" t="s">
        <v>39</v>
      </c>
      <c r="C24" s="780">
        <v>70</v>
      </c>
      <c r="D24" s="780">
        <v>48</v>
      </c>
      <c r="E24" s="674">
        <v>24</v>
      </c>
      <c r="F24" s="780">
        <v>9</v>
      </c>
      <c r="G24" s="781">
        <f t="shared" si="0"/>
        <v>0.1875</v>
      </c>
      <c r="J24" s="679"/>
      <c r="K24" s="679"/>
    </row>
    <row r="25" spans="1:16">
      <c r="A25" s="730" t="s">
        <v>40</v>
      </c>
      <c r="B25" s="731" t="s">
        <v>41</v>
      </c>
      <c r="C25" s="780">
        <v>40</v>
      </c>
      <c r="D25" s="780">
        <v>32</v>
      </c>
      <c r="E25" s="674">
        <v>11</v>
      </c>
      <c r="F25" s="780">
        <v>3</v>
      </c>
      <c r="G25" s="781">
        <f t="shared" si="0"/>
        <v>9.375E-2</v>
      </c>
      <c r="N25" s="525">
        <f>3/11</f>
        <v>0.27272727272727271</v>
      </c>
    </row>
    <row r="26" spans="1:16" s="679" customFormat="1" ht="39.6">
      <c r="A26" s="730" t="s">
        <v>42</v>
      </c>
      <c r="B26" s="731" t="s">
        <v>230</v>
      </c>
      <c r="C26" s="780">
        <v>51</v>
      </c>
      <c r="D26" s="780">
        <v>25</v>
      </c>
      <c r="E26" s="674">
        <v>15</v>
      </c>
      <c r="F26" s="780">
        <v>3</v>
      </c>
      <c r="G26" s="781">
        <f t="shared" si="0"/>
        <v>0.12</v>
      </c>
      <c r="J26" s="525"/>
      <c r="K26" s="525"/>
    </row>
    <row r="27" spans="1:16">
      <c r="A27" s="730" t="s">
        <v>43</v>
      </c>
      <c r="B27" s="731" t="s">
        <v>44</v>
      </c>
      <c r="C27" s="780">
        <v>44</v>
      </c>
      <c r="D27" s="780">
        <v>26</v>
      </c>
      <c r="E27" s="674">
        <v>15</v>
      </c>
      <c r="F27" s="780">
        <v>7</v>
      </c>
      <c r="G27" s="781">
        <f t="shared" si="0"/>
        <v>0.26923076923076922</v>
      </c>
      <c r="J27" s="679"/>
      <c r="K27" s="679"/>
    </row>
    <row r="28" spans="1:16">
      <c r="A28" s="730" t="s">
        <v>45</v>
      </c>
      <c r="B28" s="731" t="s">
        <v>320</v>
      </c>
      <c r="C28" s="780">
        <v>17</v>
      </c>
      <c r="D28" s="780">
        <v>14</v>
      </c>
      <c r="E28" s="674">
        <v>6</v>
      </c>
      <c r="F28" s="780">
        <v>5</v>
      </c>
      <c r="G28" s="781">
        <f t="shared" si="0"/>
        <v>0.35714285714285715</v>
      </c>
    </row>
    <row r="29" spans="1:16" s="679" customFormat="1" ht="26.4">
      <c r="A29" s="730">
        <v>21</v>
      </c>
      <c r="B29" s="731" t="s">
        <v>231</v>
      </c>
      <c r="C29" s="780">
        <v>35</v>
      </c>
      <c r="D29" s="1973">
        <v>28</v>
      </c>
      <c r="E29" s="674">
        <v>11</v>
      </c>
      <c r="F29" s="780">
        <v>7</v>
      </c>
      <c r="G29" s="781">
        <f>F29/D29</f>
        <v>0.25</v>
      </c>
      <c r="J29" s="525"/>
      <c r="K29" s="525"/>
    </row>
    <row r="30" spans="1:16" s="679" customFormat="1" ht="26.4">
      <c r="A30" s="730" t="s">
        <v>47</v>
      </c>
      <c r="B30" s="731" t="s">
        <v>232</v>
      </c>
      <c r="C30" s="780">
        <v>53</v>
      </c>
      <c r="D30" s="780">
        <v>45</v>
      </c>
      <c r="E30" s="674">
        <v>16</v>
      </c>
      <c r="F30" s="780">
        <v>5</v>
      </c>
      <c r="G30" s="781">
        <f t="shared" si="0"/>
        <v>0.1111111111111111</v>
      </c>
    </row>
    <row r="31" spans="1:16">
      <c r="A31" s="730" t="s">
        <v>48</v>
      </c>
      <c r="B31" s="731" t="s">
        <v>49</v>
      </c>
      <c r="C31" s="780">
        <v>48</v>
      </c>
      <c r="D31" s="780">
        <v>31</v>
      </c>
      <c r="E31" s="674">
        <v>9</v>
      </c>
      <c r="F31" s="780">
        <v>4</v>
      </c>
      <c r="G31" s="781">
        <f t="shared" si="0"/>
        <v>0.12903225806451613</v>
      </c>
      <c r="J31" s="679"/>
      <c r="K31" s="679"/>
    </row>
    <row r="32" spans="1:16">
      <c r="A32" s="730" t="s">
        <v>50</v>
      </c>
      <c r="B32" s="731" t="s">
        <v>51</v>
      </c>
      <c r="C32" s="780">
        <v>28</v>
      </c>
      <c r="D32" s="780">
        <v>11</v>
      </c>
      <c r="E32" s="674">
        <v>7</v>
      </c>
      <c r="F32" s="780">
        <v>5</v>
      </c>
      <c r="G32" s="781">
        <f t="shared" si="0"/>
        <v>0.45454545454545453</v>
      </c>
    </row>
    <row r="33" spans="1:7">
      <c r="A33" s="730" t="s">
        <v>52</v>
      </c>
      <c r="B33" s="731" t="s">
        <v>53</v>
      </c>
      <c r="C33" s="780">
        <v>109</v>
      </c>
      <c r="D33" s="780">
        <v>100</v>
      </c>
      <c r="E33" s="674">
        <v>11</v>
      </c>
      <c r="F33" s="780">
        <v>7</v>
      </c>
      <c r="G33" s="781">
        <f t="shared" si="0"/>
        <v>7.0000000000000007E-2</v>
      </c>
    </row>
    <row r="34" spans="1:7">
      <c r="A34" s="730" t="s">
        <v>54</v>
      </c>
      <c r="B34" s="731" t="s">
        <v>55</v>
      </c>
      <c r="C34" s="780">
        <v>131</v>
      </c>
      <c r="D34" s="780">
        <v>110</v>
      </c>
      <c r="E34" s="674">
        <v>24</v>
      </c>
      <c r="F34" s="780">
        <v>10</v>
      </c>
      <c r="G34" s="781">
        <f t="shared" si="0"/>
        <v>9.0909090909090912E-2</v>
      </c>
    </row>
    <row r="35" spans="1:7" ht="14.25" customHeight="1">
      <c r="A35" s="730" t="s">
        <v>56</v>
      </c>
      <c r="B35" s="731" t="s">
        <v>57</v>
      </c>
      <c r="C35" s="780">
        <v>170</v>
      </c>
      <c r="D35" s="780">
        <v>103</v>
      </c>
      <c r="E35" s="674">
        <v>28</v>
      </c>
      <c r="F35" s="780">
        <v>14</v>
      </c>
      <c r="G35" s="781">
        <f t="shared" si="0"/>
        <v>0.13592233009708737</v>
      </c>
    </row>
    <row r="36" spans="1:7">
      <c r="A36" s="730" t="s">
        <v>58</v>
      </c>
      <c r="B36" s="731" t="s">
        <v>59</v>
      </c>
      <c r="C36" s="780">
        <v>115</v>
      </c>
      <c r="D36" s="780">
        <v>95</v>
      </c>
      <c r="E36" s="674">
        <v>9</v>
      </c>
      <c r="F36" s="780">
        <v>3</v>
      </c>
      <c r="G36" s="781">
        <f t="shared" si="0"/>
        <v>3.1578947368421054E-2</v>
      </c>
    </row>
    <row r="37" spans="1:7">
      <c r="A37" s="730" t="s">
        <v>60</v>
      </c>
      <c r="B37" s="731" t="s">
        <v>61</v>
      </c>
      <c r="C37" s="780">
        <v>39</v>
      </c>
      <c r="D37" s="780">
        <v>33</v>
      </c>
      <c r="E37" s="674">
        <v>6</v>
      </c>
      <c r="F37" s="780"/>
      <c r="G37" s="781">
        <f t="shared" si="0"/>
        <v>0</v>
      </c>
    </row>
    <row r="38" spans="1:7">
      <c r="A38" s="730" t="s">
        <v>62</v>
      </c>
      <c r="B38" s="731" t="s">
        <v>63</v>
      </c>
      <c r="C38" s="780">
        <v>51</v>
      </c>
      <c r="D38" s="780">
        <v>42</v>
      </c>
      <c r="E38" s="674">
        <v>7</v>
      </c>
      <c r="F38" s="780">
        <v>1</v>
      </c>
      <c r="G38" s="781">
        <f t="shared" si="0"/>
        <v>2.3809523809523808E-2</v>
      </c>
    </row>
    <row r="39" spans="1:7">
      <c r="A39" s="730" t="s">
        <v>64</v>
      </c>
      <c r="B39" s="731" t="s">
        <v>65</v>
      </c>
      <c r="C39" s="780">
        <v>95</v>
      </c>
      <c r="D39" s="780">
        <v>78</v>
      </c>
      <c r="E39" s="674">
        <v>12</v>
      </c>
      <c r="F39" s="780">
        <v>4</v>
      </c>
      <c r="G39" s="781">
        <f t="shared" si="0"/>
        <v>5.128205128205128E-2</v>
      </c>
    </row>
    <row r="40" spans="1:7">
      <c r="A40" s="730" t="s">
        <v>66</v>
      </c>
      <c r="B40" s="731" t="s">
        <v>67</v>
      </c>
      <c r="C40" s="780">
        <v>78</v>
      </c>
      <c r="D40" s="780">
        <v>58</v>
      </c>
      <c r="E40" s="674">
        <v>11</v>
      </c>
      <c r="F40" s="780">
        <v>3</v>
      </c>
      <c r="G40" s="781">
        <f t="shared" si="0"/>
        <v>5.1724137931034482E-2</v>
      </c>
    </row>
    <row r="41" spans="1:7">
      <c r="A41" s="730" t="s">
        <v>68</v>
      </c>
      <c r="B41" s="731" t="s">
        <v>69</v>
      </c>
      <c r="C41" s="780">
        <v>61</v>
      </c>
      <c r="D41" s="780">
        <v>41</v>
      </c>
      <c r="E41" s="674">
        <v>9</v>
      </c>
      <c r="F41" s="780">
        <v>3</v>
      </c>
      <c r="G41" s="781">
        <f t="shared" si="0"/>
        <v>7.3170731707317069E-2</v>
      </c>
    </row>
    <row r="42" spans="1:7">
      <c r="A42" s="730" t="s">
        <v>70</v>
      </c>
      <c r="B42" s="731" t="s">
        <v>71</v>
      </c>
      <c r="C42" s="780">
        <v>17</v>
      </c>
      <c r="D42" s="780">
        <v>16</v>
      </c>
      <c r="E42" s="674">
        <v>5</v>
      </c>
      <c r="F42" s="780">
        <v>2</v>
      </c>
      <c r="G42" s="781">
        <f t="shared" si="0"/>
        <v>0.125</v>
      </c>
    </row>
    <row r="43" spans="1:7">
      <c r="A43" s="730" t="s">
        <v>72</v>
      </c>
      <c r="B43" s="731" t="s">
        <v>73</v>
      </c>
      <c r="C43" s="780">
        <v>41</v>
      </c>
      <c r="D43" s="780">
        <v>40</v>
      </c>
      <c r="E43" s="674">
        <v>5</v>
      </c>
      <c r="F43" s="780">
        <v>1</v>
      </c>
      <c r="G43" s="781">
        <f t="shared" si="0"/>
        <v>2.5000000000000001E-2</v>
      </c>
    </row>
    <row r="44" spans="1:7">
      <c r="A44" s="730" t="s">
        <v>74</v>
      </c>
      <c r="B44" s="731" t="s">
        <v>75</v>
      </c>
      <c r="C44" s="780">
        <v>47</v>
      </c>
      <c r="D44" s="780">
        <v>42</v>
      </c>
      <c r="E44" s="674">
        <v>4</v>
      </c>
      <c r="F44" s="780">
        <v>2</v>
      </c>
      <c r="G44" s="781">
        <f t="shared" si="0"/>
        <v>4.7619047619047616E-2</v>
      </c>
    </row>
    <row r="45" spans="1:7">
      <c r="A45" s="730" t="s">
        <v>76</v>
      </c>
      <c r="B45" s="731" t="s">
        <v>77</v>
      </c>
      <c r="C45" s="780">
        <v>20</v>
      </c>
      <c r="D45" s="780">
        <v>18</v>
      </c>
      <c r="E45" s="674">
        <v>2</v>
      </c>
      <c r="F45" s="780"/>
      <c r="G45" s="781">
        <f t="shared" si="0"/>
        <v>0</v>
      </c>
    </row>
    <row r="46" spans="1:7">
      <c r="A46" s="730" t="s">
        <v>78</v>
      </c>
      <c r="B46" s="731" t="s">
        <v>79</v>
      </c>
      <c r="C46" s="780">
        <v>153</v>
      </c>
      <c r="D46" s="780">
        <v>108</v>
      </c>
      <c r="E46" s="674">
        <v>30</v>
      </c>
      <c r="F46" s="780">
        <v>11</v>
      </c>
      <c r="G46" s="781">
        <f t="shared" si="0"/>
        <v>0.10185185185185185</v>
      </c>
    </row>
    <row r="47" spans="1:7">
      <c r="A47" s="730" t="s">
        <v>80</v>
      </c>
      <c r="B47" s="731" t="s">
        <v>81</v>
      </c>
      <c r="C47" s="780">
        <v>93</v>
      </c>
      <c r="D47" s="780">
        <v>61</v>
      </c>
      <c r="E47" s="674">
        <v>16</v>
      </c>
      <c r="F47" s="780">
        <v>3</v>
      </c>
      <c r="G47" s="781">
        <f t="shared" si="0"/>
        <v>4.9180327868852458E-2</v>
      </c>
    </row>
    <row r="48" spans="1:7">
      <c r="A48" s="730" t="s">
        <v>82</v>
      </c>
      <c r="B48" s="731" t="s">
        <v>83</v>
      </c>
      <c r="C48" s="780">
        <v>75</v>
      </c>
      <c r="D48" s="780">
        <v>48</v>
      </c>
      <c r="E48" s="674">
        <v>15</v>
      </c>
      <c r="F48" s="780">
        <v>6</v>
      </c>
      <c r="G48" s="781">
        <f t="shared" si="0"/>
        <v>0.125</v>
      </c>
    </row>
    <row r="49" spans="1:14">
      <c r="A49" s="730" t="s">
        <v>84</v>
      </c>
      <c r="B49" s="675" t="s">
        <v>355</v>
      </c>
      <c r="C49" s="780">
        <v>87</v>
      </c>
      <c r="D49" s="780">
        <v>56</v>
      </c>
      <c r="E49" s="674">
        <v>14</v>
      </c>
      <c r="F49" s="780"/>
      <c r="G49" s="781">
        <f t="shared" si="0"/>
        <v>0</v>
      </c>
    </row>
    <row r="50" spans="1:14">
      <c r="A50" s="730" t="s">
        <v>85</v>
      </c>
      <c r="B50" s="220" t="s">
        <v>86</v>
      </c>
      <c r="C50" s="780">
        <v>94</v>
      </c>
      <c r="D50" s="780">
        <v>70</v>
      </c>
      <c r="E50" s="674">
        <v>17</v>
      </c>
      <c r="F50" s="780">
        <v>5</v>
      </c>
      <c r="G50" s="781">
        <f t="shared" si="0"/>
        <v>7.1428571428571425E-2</v>
      </c>
      <c r="K50" s="1198">
        <f>F67/1580</f>
        <v>0.12468354430379747</v>
      </c>
      <c r="N50" s="525">
        <f>1580-806</f>
        <v>774</v>
      </c>
    </row>
    <row r="51" spans="1:14">
      <c r="A51" s="730" t="s">
        <v>87</v>
      </c>
      <c r="B51" s="220" t="s">
        <v>88</v>
      </c>
      <c r="C51" s="780">
        <v>115</v>
      </c>
      <c r="D51" s="780">
        <v>90</v>
      </c>
      <c r="E51" s="674">
        <v>7</v>
      </c>
      <c r="F51" s="780">
        <v>2</v>
      </c>
      <c r="G51" s="781">
        <f t="shared" si="0"/>
        <v>2.2222222222222223E-2</v>
      </c>
    </row>
    <row r="52" spans="1:14">
      <c r="A52" s="730" t="s">
        <v>89</v>
      </c>
      <c r="B52" s="220" t="s">
        <v>90</v>
      </c>
      <c r="C52" s="780">
        <v>52</v>
      </c>
      <c r="D52" s="780">
        <v>44</v>
      </c>
      <c r="E52" s="674">
        <v>5</v>
      </c>
      <c r="F52" s="780">
        <v>1</v>
      </c>
      <c r="G52" s="781">
        <f t="shared" si="0"/>
        <v>2.2727272727272728E-2</v>
      </c>
      <c r="N52" s="1198">
        <f>197/774</f>
        <v>0.25452196382428943</v>
      </c>
    </row>
    <row r="53" spans="1:14">
      <c r="A53" s="730" t="s">
        <v>91</v>
      </c>
      <c r="B53" s="731" t="s">
        <v>92</v>
      </c>
      <c r="C53" s="780">
        <v>52</v>
      </c>
      <c r="D53" s="780">
        <v>38</v>
      </c>
      <c r="E53" s="674">
        <v>6</v>
      </c>
      <c r="F53" s="780">
        <v>2</v>
      </c>
      <c r="G53" s="781">
        <f t="shared" si="0"/>
        <v>5.2631578947368418E-2</v>
      </c>
    </row>
    <row r="54" spans="1:14">
      <c r="A54" s="730" t="s">
        <v>93</v>
      </c>
      <c r="B54" s="731" t="s">
        <v>94</v>
      </c>
      <c r="C54" s="780">
        <v>52</v>
      </c>
      <c r="D54" s="780">
        <v>44</v>
      </c>
      <c r="E54" s="674">
        <v>2</v>
      </c>
      <c r="F54" s="780">
        <v>1</v>
      </c>
      <c r="G54" s="781">
        <f t="shared" si="0"/>
        <v>2.2727272727272728E-2</v>
      </c>
    </row>
    <row r="55" spans="1:14">
      <c r="A55" s="730" t="s">
        <v>95</v>
      </c>
      <c r="B55" s="731" t="s">
        <v>96</v>
      </c>
      <c r="C55" s="780">
        <v>47</v>
      </c>
      <c r="D55" s="780">
        <v>31</v>
      </c>
      <c r="E55" s="674">
        <v>3</v>
      </c>
      <c r="F55" s="780">
        <v>1</v>
      </c>
      <c r="G55" s="781">
        <f t="shared" si="0"/>
        <v>3.2258064516129031E-2</v>
      </c>
    </row>
    <row r="56" spans="1:14">
      <c r="A56" s="730" t="s">
        <v>97</v>
      </c>
      <c r="B56" s="731" t="s">
        <v>98</v>
      </c>
      <c r="C56" s="780">
        <v>51</v>
      </c>
      <c r="D56" s="780">
        <v>22</v>
      </c>
      <c r="E56" s="674">
        <v>14</v>
      </c>
      <c r="F56" s="780">
        <v>8</v>
      </c>
      <c r="G56" s="781">
        <f t="shared" si="0"/>
        <v>0.36363636363636365</v>
      </c>
    </row>
    <row r="57" spans="1:14">
      <c r="A57" s="730" t="s">
        <v>99</v>
      </c>
      <c r="B57" s="731" t="s">
        <v>100</v>
      </c>
      <c r="C57" s="780">
        <v>34</v>
      </c>
      <c r="D57" s="780">
        <v>17</v>
      </c>
      <c r="E57" s="674">
        <v>14</v>
      </c>
      <c r="F57" s="780">
        <v>8</v>
      </c>
      <c r="G57" s="781">
        <f t="shared" si="0"/>
        <v>0.47058823529411764</v>
      </c>
    </row>
    <row r="58" spans="1:14">
      <c r="A58" s="730">
        <v>72</v>
      </c>
      <c r="B58" s="731" t="s">
        <v>117</v>
      </c>
      <c r="C58" s="780">
        <v>17</v>
      </c>
      <c r="D58" s="780">
        <v>15</v>
      </c>
      <c r="E58" s="674"/>
      <c r="F58" s="780"/>
      <c r="G58" s="781">
        <f t="shared" si="0"/>
        <v>0</v>
      </c>
    </row>
    <row r="59" spans="1:14">
      <c r="A59" s="730" t="s">
        <v>101</v>
      </c>
      <c r="B59" s="731" t="s">
        <v>102</v>
      </c>
      <c r="C59" s="780">
        <v>6</v>
      </c>
      <c r="D59" s="780">
        <v>6</v>
      </c>
      <c r="E59" s="674"/>
      <c r="F59" s="780"/>
      <c r="G59" s="781">
        <f t="shared" si="0"/>
        <v>0</v>
      </c>
    </row>
    <row r="60" spans="1:14">
      <c r="A60" s="730" t="s">
        <v>103</v>
      </c>
      <c r="B60" s="731" t="s">
        <v>104</v>
      </c>
      <c r="C60" s="780">
        <v>43</v>
      </c>
      <c r="D60" s="780">
        <v>15</v>
      </c>
      <c r="E60" s="674">
        <v>9</v>
      </c>
      <c r="F60" s="780">
        <v>1</v>
      </c>
      <c r="G60" s="781">
        <f t="shared" si="0"/>
        <v>6.6666666666666666E-2</v>
      </c>
    </row>
    <row r="61" spans="1:14">
      <c r="A61" s="730">
        <v>76</v>
      </c>
      <c r="B61" s="731" t="s">
        <v>200</v>
      </c>
      <c r="C61" s="674">
        <v>4</v>
      </c>
      <c r="D61" s="674">
        <v>3</v>
      </c>
      <c r="E61" s="674"/>
      <c r="F61" s="674"/>
      <c r="G61" s="781">
        <f t="shared" si="0"/>
        <v>0</v>
      </c>
    </row>
    <row r="62" spans="1:14">
      <c r="A62" s="730">
        <v>77</v>
      </c>
      <c r="B62" s="731" t="s">
        <v>201</v>
      </c>
      <c r="C62" s="674">
        <v>1</v>
      </c>
      <c r="D62" s="674">
        <v>1</v>
      </c>
      <c r="E62" s="674"/>
      <c r="F62" s="674"/>
      <c r="G62" s="781" t="s">
        <v>530</v>
      </c>
    </row>
    <row r="63" spans="1:14">
      <c r="A63" s="765" t="s">
        <v>517</v>
      </c>
      <c r="B63" s="766" t="s">
        <v>518</v>
      </c>
      <c r="C63" s="674">
        <v>17</v>
      </c>
      <c r="D63" s="674">
        <v>6</v>
      </c>
      <c r="E63" s="674">
        <v>1</v>
      </c>
      <c r="F63" s="674">
        <v>1</v>
      </c>
      <c r="G63" s="781">
        <f t="shared" si="0"/>
        <v>0.16666666666666666</v>
      </c>
    </row>
    <row r="64" spans="1:14">
      <c r="A64" s="765" t="s">
        <v>519</v>
      </c>
      <c r="B64" s="766" t="s">
        <v>520</v>
      </c>
      <c r="C64" s="674">
        <v>8</v>
      </c>
      <c r="D64" s="674">
        <v>4</v>
      </c>
      <c r="E64" s="674">
        <v>9</v>
      </c>
      <c r="F64" s="674">
        <v>1</v>
      </c>
      <c r="G64" s="781">
        <f t="shared" si="0"/>
        <v>0.25</v>
      </c>
    </row>
    <row r="65" spans="1:11" ht="13.8" thickBot="1">
      <c r="A65" s="737" t="s">
        <v>521</v>
      </c>
      <c r="B65" s="738" t="s">
        <v>522</v>
      </c>
      <c r="C65" s="676">
        <v>12</v>
      </c>
      <c r="D65" s="676">
        <v>8</v>
      </c>
      <c r="E65" s="676">
        <v>7</v>
      </c>
      <c r="F65" s="676">
        <v>1</v>
      </c>
      <c r="G65" s="782">
        <f t="shared" si="0"/>
        <v>0.125</v>
      </c>
    </row>
    <row r="66" spans="1:11" ht="12.75" customHeight="1" thickBot="1">
      <c r="A66" s="656"/>
      <c r="B66" s="783"/>
      <c r="C66" s="784"/>
      <c r="D66" s="785"/>
      <c r="E66" s="784"/>
      <c r="F66" s="784"/>
      <c r="G66" s="786"/>
    </row>
    <row r="67" spans="1:11" s="756" customFormat="1" ht="12.75" customHeight="1" thickBot="1">
      <c r="A67" s="787"/>
      <c r="B67" s="788" t="s">
        <v>105</v>
      </c>
      <c r="C67" s="789">
        <f>SUM(C9:C65)</f>
        <v>2653</v>
      </c>
      <c r="D67" s="790">
        <f>SUM(D9:D65)</f>
        <v>1938</v>
      </c>
      <c r="E67" s="789">
        <f>SUM(E9:E65)</f>
        <v>505</v>
      </c>
      <c r="F67" s="789">
        <f>SUM(F9:F65)</f>
        <v>197</v>
      </c>
      <c r="G67" s="791">
        <f>F67/D67</f>
        <v>0.10165118679050568</v>
      </c>
      <c r="J67" s="525"/>
      <c r="K67" s="525"/>
    </row>
    <row r="68" spans="1:11" s="756" customFormat="1" ht="15.75" customHeight="1">
      <c r="A68" s="552" t="str">
        <f>'fiche technique'!A9</f>
        <v>Source: GALAXIE (ANTARES-ANTEE &amp; FIDIS), DGRH A1-1 &amp; DGRH A2, juin 2014</v>
      </c>
      <c r="B68" s="747"/>
      <c r="C68" s="792"/>
      <c r="D68" s="792"/>
      <c r="E68" s="792"/>
      <c r="F68" s="792"/>
      <c r="G68" s="793"/>
    </row>
    <row r="69" spans="1:11" ht="13.8">
      <c r="A69" s="794" t="s">
        <v>123</v>
      </c>
      <c r="C69" s="773"/>
      <c r="D69" s="773"/>
      <c r="E69" s="773"/>
      <c r="F69" s="773"/>
      <c r="G69" s="773"/>
      <c r="J69" s="756"/>
      <c r="K69" s="756"/>
    </row>
    <row r="70" spans="1:11" ht="16.5" customHeight="1"/>
    <row r="71" spans="1:11" s="773" customFormat="1" ht="15.75" customHeight="1">
      <c r="A71" s="525"/>
      <c r="B71" s="525"/>
      <c r="C71" s="525"/>
      <c r="D71" s="525"/>
      <c r="E71" s="525"/>
      <c r="F71" s="525"/>
      <c r="G71" s="525"/>
      <c r="J71" s="525"/>
      <c r="K71" s="525"/>
    </row>
    <row r="72" spans="1:11">
      <c r="J72" s="773"/>
      <c r="K72" s="773"/>
    </row>
    <row r="73" spans="1:11" s="756" customFormat="1" ht="13.8">
      <c r="A73" s="525"/>
      <c r="B73" s="525"/>
      <c r="C73" s="525"/>
      <c r="D73" s="525"/>
      <c r="E73" s="525"/>
      <c r="F73" s="525"/>
      <c r="G73" s="525"/>
      <c r="J73" s="525"/>
      <c r="K73" s="525"/>
    </row>
    <row r="74" spans="1:11" ht="13.8">
      <c r="J74" s="756"/>
      <c r="K74" s="756"/>
    </row>
  </sheetData>
  <mergeCells count="4">
    <mergeCell ref="A2:G2"/>
    <mergeCell ref="A4:G4"/>
    <mergeCell ref="A5:G5"/>
    <mergeCell ref="E7:G7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Feuil46" enableFormatConditionsCalculation="0">
    <tabColor rgb="FF00B050"/>
  </sheetPr>
  <dimension ref="A1:J796"/>
  <sheetViews>
    <sheetView topLeftCell="A3" zoomScale="75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10">
      <c r="B17" s="273"/>
      <c r="C17" s="273"/>
      <c r="D17" s="273"/>
    </row>
    <row r="18" spans="1:10">
      <c r="B18" s="273"/>
      <c r="C18" s="273"/>
      <c r="D18" s="273"/>
    </row>
    <row r="19" spans="1:10">
      <c r="B19" s="273"/>
      <c r="C19" s="273"/>
      <c r="D19" s="273"/>
    </row>
    <row r="20" spans="1:10">
      <c r="B20" s="273"/>
      <c r="C20" s="273"/>
      <c r="D20" s="273"/>
    </row>
    <row r="21" spans="1:10">
      <c r="B21" s="273"/>
      <c r="C21" s="273"/>
      <c r="D21" s="273"/>
    </row>
    <row r="22" spans="1:10" ht="13.8" thickBot="1">
      <c r="B22" s="273"/>
      <c r="C22" s="273"/>
      <c r="D22" s="273"/>
    </row>
    <row r="23" spans="1:10" ht="20.25" customHeight="1" thickTop="1">
      <c r="B23" s="1993" t="s">
        <v>360</v>
      </c>
      <c r="C23" s="1994"/>
      <c r="D23" s="1994"/>
      <c r="E23" s="1994"/>
      <c r="F23" s="1994"/>
      <c r="G23" s="1994"/>
      <c r="H23" s="1994"/>
      <c r="I23" s="2124"/>
    </row>
    <row r="24" spans="1:10" ht="19.5" customHeight="1" thickBot="1">
      <c r="B24" s="2125" t="s">
        <v>547</v>
      </c>
      <c r="C24" s="2126"/>
      <c r="D24" s="2126"/>
      <c r="E24" s="2126"/>
      <c r="F24" s="2126"/>
      <c r="G24" s="2126"/>
      <c r="H24" s="2126"/>
      <c r="I24" s="2127"/>
    </row>
    <row r="25" spans="1:10" ht="12.75" customHeight="1" thickTop="1">
      <c r="B25" s="319"/>
      <c r="C25" s="1883"/>
      <c r="D25" s="1883"/>
      <c r="E25" s="1883"/>
      <c r="F25" s="1883"/>
      <c r="G25" s="1883"/>
      <c r="H25" s="1883"/>
      <c r="I25" s="320"/>
    </row>
    <row r="26" spans="1:10" ht="12.75" customHeight="1">
      <c r="B26" s="274"/>
      <c r="C26" s="274"/>
      <c r="D26" s="274"/>
    </row>
    <row r="27" spans="1:10" ht="17.399999999999999">
      <c r="A27" s="2128" t="str">
        <f>'fiche technique'!A8</f>
        <v>Session "synchronisée" (ANTEE)</v>
      </c>
      <c r="B27" s="2128"/>
      <c r="C27" s="2128"/>
      <c r="D27" s="2128"/>
      <c r="E27" s="2128"/>
      <c r="F27" s="2128"/>
      <c r="G27" s="2128"/>
      <c r="H27" s="2128"/>
      <c r="I27" s="2128"/>
      <c r="J27" s="2128"/>
    </row>
    <row r="28" spans="1:10">
      <c r="B28" s="273"/>
      <c r="C28" s="273"/>
      <c r="D28" s="273"/>
    </row>
    <row r="29" spans="1:10" ht="15.75" customHeight="1">
      <c r="A29" s="1919"/>
      <c r="B29" s="1881"/>
      <c r="C29" s="1882"/>
      <c r="D29" s="1882"/>
      <c r="E29" s="1919"/>
      <c r="F29" s="1919"/>
      <c r="G29" s="1857"/>
      <c r="H29" s="1857"/>
      <c r="I29" s="1857"/>
    </row>
    <row r="30" spans="1:10">
      <c r="B30" s="273"/>
      <c r="C30" s="273"/>
      <c r="D30" s="273"/>
    </row>
    <row r="31" spans="1:10">
      <c r="B31" s="273"/>
      <c r="C31" s="273"/>
      <c r="D31" s="273"/>
    </row>
    <row r="32" spans="1:10" ht="15.6">
      <c r="B32" s="273"/>
      <c r="C32" s="273"/>
      <c r="D32" s="273"/>
      <c r="E32" s="276"/>
    </row>
    <row r="33" spans="2:9">
      <c r="C33" s="660" t="s">
        <v>361</v>
      </c>
      <c r="D33" s="273"/>
    </row>
    <row r="34" spans="2:9">
      <c r="C34" s="660" t="s">
        <v>357</v>
      </c>
      <c r="D34" s="279"/>
      <c r="E34" s="280"/>
      <c r="F34" s="280"/>
      <c r="G34" s="280"/>
      <c r="H34" s="280"/>
    </row>
    <row r="35" spans="2:9">
      <c r="C35" s="661" t="s">
        <v>959</v>
      </c>
      <c r="D35" s="279"/>
      <c r="E35" s="280"/>
      <c r="F35" s="280"/>
      <c r="G35" s="280"/>
      <c r="H35" s="280"/>
    </row>
    <row r="36" spans="2:9">
      <c r="C36" s="663" t="s">
        <v>960</v>
      </c>
      <c r="D36" s="321"/>
      <c r="E36" s="322"/>
      <c r="F36" s="322"/>
      <c r="G36" s="322"/>
      <c r="H36" s="322"/>
    </row>
    <row r="37" spans="2:9">
      <c r="B37" s="273"/>
      <c r="D37" s="279"/>
      <c r="E37" s="280"/>
      <c r="F37" s="280"/>
      <c r="G37" s="280"/>
      <c r="H37" s="280"/>
      <c r="I37" s="280"/>
    </row>
    <row r="38" spans="2:9">
      <c r="B38" s="273"/>
      <c r="C38" s="273"/>
      <c r="D38" s="273"/>
    </row>
    <row r="39" spans="2:9">
      <c r="B39" s="273"/>
      <c r="C39" s="273"/>
      <c r="D39" s="273"/>
    </row>
    <row r="40" spans="2:9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</row>
    <row r="43" spans="2:9">
      <c r="B43" s="273"/>
      <c r="C43" s="273"/>
      <c r="D43" s="273"/>
    </row>
    <row r="44" spans="2:9">
      <c r="B44" s="273"/>
      <c r="C44" s="273"/>
      <c r="D44" s="273"/>
    </row>
    <row r="45" spans="2:9">
      <c r="B45" s="273"/>
      <c r="C45" s="273"/>
      <c r="D45" s="273"/>
      <c r="F45" s="2001"/>
      <c r="G45" s="2001"/>
      <c r="H45" s="2001"/>
    </row>
    <row r="46" spans="2:9" ht="19.5" customHeight="1">
      <c r="B46" s="1992" t="s">
        <v>324</v>
      </c>
      <c r="C46" s="1992"/>
      <c r="D46" s="1992"/>
      <c r="E46" s="1992"/>
      <c r="F46" s="1992"/>
      <c r="G46" s="1992"/>
      <c r="H46" s="1992"/>
      <c r="I46" s="1992"/>
    </row>
    <row r="47" spans="2:9" ht="19.5" customHeight="1">
      <c r="B47" s="2002" t="s">
        <v>325</v>
      </c>
      <c r="C47" s="2002"/>
      <c r="D47" s="2002"/>
      <c r="E47" s="2002"/>
      <c r="F47" s="2002"/>
      <c r="G47" s="2002"/>
      <c r="H47" s="2002"/>
      <c r="I47" s="2002"/>
    </row>
    <row r="48" spans="2:9" ht="19.5" customHeight="1">
      <c r="B48" s="1992" t="s">
        <v>326</v>
      </c>
      <c r="C48" s="1992"/>
      <c r="D48" s="1992"/>
      <c r="E48" s="1992"/>
      <c r="F48" s="1992"/>
      <c r="G48" s="1992"/>
      <c r="H48" s="1992"/>
      <c r="I48" s="1992"/>
    </row>
    <row r="49" spans="2:9" ht="19.5" customHeight="1">
      <c r="B49" s="1991" t="s">
        <v>958</v>
      </c>
      <c r="C49" s="1992"/>
      <c r="D49" s="1992"/>
      <c r="E49" s="1992"/>
      <c r="F49" s="1992"/>
      <c r="G49" s="1992"/>
      <c r="H49" s="1992"/>
      <c r="I49" s="1992"/>
    </row>
    <row r="50" spans="2:9" ht="19.5" customHeight="1">
      <c r="B50" s="2093" t="s">
        <v>327</v>
      </c>
      <c r="C50" s="2093"/>
      <c r="D50" s="2093"/>
      <c r="E50" s="2093"/>
      <c r="F50" s="2093"/>
      <c r="G50" s="2093"/>
      <c r="H50" s="2093"/>
      <c r="I50" s="2093"/>
    </row>
    <row r="51" spans="2:9">
      <c r="B51" s="273"/>
      <c r="C51" s="273"/>
      <c r="D51" s="273"/>
    </row>
    <row r="52" spans="2:9">
      <c r="B52" s="273"/>
      <c r="C52" s="281"/>
      <c r="D52" s="281"/>
    </row>
    <row r="53" spans="2:9">
      <c r="B53" s="273"/>
      <c r="C53" s="281"/>
      <c r="D53" s="281"/>
    </row>
    <row r="54" spans="2:9">
      <c r="B54" s="282" t="s">
        <v>328</v>
      </c>
      <c r="C54" s="281"/>
      <c r="D54" s="281"/>
      <c r="I54" s="512" t="str">
        <f>'fiche technique'!A12</f>
        <v>décembre 2014</v>
      </c>
    </row>
    <row r="55" spans="2:9">
      <c r="B55" s="273"/>
      <c r="C55" s="281"/>
      <c r="D55" s="281"/>
    </row>
    <row r="56" spans="2:9">
      <c r="B56" s="281"/>
      <c r="C56" s="281"/>
      <c r="D56" s="281"/>
    </row>
    <row r="57" spans="2:9">
      <c r="B57" s="281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  <row r="795" spans="2:4">
      <c r="B795" s="281"/>
      <c r="C795" s="281"/>
      <c r="D795" s="281"/>
    </row>
    <row r="796" spans="2:4">
      <c r="B796" s="281"/>
      <c r="C796" s="281"/>
      <c r="D796" s="281"/>
    </row>
  </sheetData>
  <mergeCells count="9">
    <mergeCell ref="B23:I23"/>
    <mergeCell ref="B24:I24"/>
    <mergeCell ref="A27:J27"/>
    <mergeCell ref="B49:I49"/>
    <mergeCell ref="B50:I50"/>
    <mergeCell ref="F45:H45"/>
    <mergeCell ref="B46:I46"/>
    <mergeCell ref="B47:I47"/>
    <mergeCell ref="B48:I48"/>
  </mergeCells>
  <phoneticPr fontId="30" type="noConversion"/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66"/>
    <pageSetUpPr fitToPage="1"/>
  </sheetPr>
  <dimension ref="A1:Q67"/>
  <sheetViews>
    <sheetView zoomScale="85" zoomScaleNormal="85" workbookViewId="0">
      <selection activeCell="L18" sqref="L18"/>
    </sheetView>
  </sheetViews>
  <sheetFormatPr baseColWidth="10" defaultRowHeight="13.2"/>
  <cols>
    <col min="1" max="1" width="7.88671875" style="1263" customWidth="1"/>
    <col min="2" max="2" width="88.109375" style="1263" bestFit="1" customWidth="1"/>
    <col min="3" max="3" width="11.109375" style="1263" customWidth="1"/>
    <col min="4" max="4" width="9.5546875" style="1263" bestFit="1" customWidth="1"/>
    <col min="5" max="5" width="9.109375" style="1263" customWidth="1"/>
    <col min="6" max="6" width="9.33203125" style="1263" bestFit="1" customWidth="1"/>
    <col min="7" max="256" width="11.44140625" style="1263"/>
    <col min="257" max="257" width="7.88671875" style="1263" customWidth="1"/>
    <col min="258" max="258" width="88.109375" style="1263" bestFit="1" customWidth="1"/>
    <col min="259" max="259" width="10" style="1263" bestFit="1" customWidth="1"/>
    <col min="260" max="260" width="9.5546875" style="1263" bestFit="1" customWidth="1"/>
    <col min="261" max="261" width="9.109375" style="1263" customWidth="1"/>
    <col min="262" max="262" width="9.33203125" style="1263" bestFit="1" customWidth="1"/>
    <col min="263" max="512" width="11.44140625" style="1263"/>
    <col min="513" max="513" width="7.88671875" style="1263" customWidth="1"/>
    <col min="514" max="514" width="88.109375" style="1263" bestFit="1" customWidth="1"/>
    <col min="515" max="515" width="10" style="1263" bestFit="1" customWidth="1"/>
    <col min="516" max="516" width="9.5546875" style="1263" bestFit="1" customWidth="1"/>
    <col min="517" max="517" width="9.109375" style="1263" customWidth="1"/>
    <col min="518" max="518" width="9.33203125" style="1263" bestFit="1" customWidth="1"/>
    <col min="519" max="768" width="11.44140625" style="1263"/>
    <col min="769" max="769" width="7.88671875" style="1263" customWidth="1"/>
    <col min="770" max="770" width="88.109375" style="1263" bestFit="1" customWidth="1"/>
    <col min="771" max="771" width="10" style="1263" bestFit="1" customWidth="1"/>
    <col min="772" max="772" width="9.5546875" style="1263" bestFit="1" customWidth="1"/>
    <col min="773" max="773" width="9.109375" style="1263" customWidth="1"/>
    <col min="774" max="774" width="9.33203125" style="1263" bestFit="1" customWidth="1"/>
    <col min="775" max="1024" width="11.44140625" style="1263"/>
    <col min="1025" max="1025" width="7.88671875" style="1263" customWidth="1"/>
    <col min="1026" max="1026" width="88.109375" style="1263" bestFit="1" customWidth="1"/>
    <col min="1027" max="1027" width="10" style="1263" bestFit="1" customWidth="1"/>
    <col min="1028" max="1028" width="9.5546875" style="1263" bestFit="1" customWidth="1"/>
    <col min="1029" max="1029" width="9.109375" style="1263" customWidth="1"/>
    <col min="1030" max="1030" width="9.33203125" style="1263" bestFit="1" customWidth="1"/>
    <col min="1031" max="1280" width="11.44140625" style="1263"/>
    <col min="1281" max="1281" width="7.88671875" style="1263" customWidth="1"/>
    <col min="1282" max="1282" width="88.109375" style="1263" bestFit="1" customWidth="1"/>
    <col min="1283" max="1283" width="10" style="1263" bestFit="1" customWidth="1"/>
    <col min="1284" max="1284" width="9.5546875" style="1263" bestFit="1" customWidth="1"/>
    <col min="1285" max="1285" width="9.109375" style="1263" customWidth="1"/>
    <col min="1286" max="1286" width="9.33203125" style="1263" bestFit="1" customWidth="1"/>
    <col min="1287" max="1536" width="11.44140625" style="1263"/>
    <col min="1537" max="1537" width="7.88671875" style="1263" customWidth="1"/>
    <col min="1538" max="1538" width="88.109375" style="1263" bestFit="1" customWidth="1"/>
    <col min="1539" max="1539" width="10" style="1263" bestFit="1" customWidth="1"/>
    <col min="1540" max="1540" width="9.5546875" style="1263" bestFit="1" customWidth="1"/>
    <col min="1541" max="1541" width="9.109375" style="1263" customWidth="1"/>
    <col min="1542" max="1542" width="9.33203125" style="1263" bestFit="1" customWidth="1"/>
    <col min="1543" max="1792" width="11.44140625" style="1263"/>
    <col min="1793" max="1793" width="7.88671875" style="1263" customWidth="1"/>
    <col min="1794" max="1794" width="88.109375" style="1263" bestFit="1" customWidth="1"/>
    <col min="1795" max="1795" width="10" style="1263" bestFit="1" customWidth="1"/>
    <col min="1796" max="1796" width="9.5546875" style="1263" bestFit="1" customWidth="1"/>
    <col min="1797" max="1797" width="9.109375" style="1263" customWidth="1"/>
    <col min="1798" max="1798" width="9.33203125" style="1263" bestFit="1" customWidth="1"/>
    <col min="1799" max="2048" width="11.44140625" style="1263"/>
    <col min="2049" max="2049" width="7.88671875" style="1263" customWidth="1"/>
    <col min="2050" max="2050" width="88.109375" style="1263" bestFit="1" customWidth="1"/>
    <col min="2051" max="2051" width="10" style="1263" bestFit="1" customWidth="1"/>
    <col min="2052" max="2052" width="9.5546875" style="1263" bestFit="1" customWidth="1"/>
    <col min="2053" max="2053" width="9.109375" style="1263" customWidth="1"/>
    <col min="2054" max="2054" width="9.33203125" style="1263" bestFit="1" customWidth="1"/>
    <col min="2055" max="2304" width="11.44140625" style="1263"/>
    <col min="2305" max="2305" width="7.88671875" style="1263" customWidth="1"/>
    <col min="2306" max="2306" width="88.109375" style="1263" bestFit="1" customWidth="1"/>
    <col min="2307" max="2307" width="10" style="1263" bestFit="1" customWidth="1"/>
    <col min="2308" max="2308" width="9.5546875" style="1263" bestFit="1" customWidth="1"/>
    <col min="2309" max="2309" width="9.109375" style="1263" customWidth="1"/>
    <col min="2310" max="2310" width="9.33203125" style="1263" bestFit="1" customWidth="1"/>
    <col min="2311" max="2560" width="11.44140625" style="1263"/>
    <col min="2561" max="2561" width="7.88671875" style="1263" customWidth="1"/>
    <col min="2562" max="2562" width="88.109375" style="1263" bestFit="1" customWidth="1"/>
    <col min="2563" max="2563" width="10" style="1263" bestFit="1" customWidth="1"/>
    <col min="2564" max="2564" width="9.5546875" style="1263" bestFit="1" customWidth="1"/>
    <col min="2565" max="2565" width="9.109375" style="1263" customWidth="1"/>
    <col min="2566" max="2566" width="9.33203125" style="1263" bestFit="1" customWidth="1"/>
    <col min="2567" max="2816" width="11.44140625" style="1263"/>
    <col min="2817" max="2817" width="7.88671875" style="1263" customWidth="1"/>
    <col min="2818" max="2818" width="88.109375" style="1263" bestFit="1" customWidth="1"/>
    <col min="2819" max="2819" width="10" style="1263" bestFit="1" customWidth="1"/>
    <col min="2820" max="2820" width="9.5546875" style="1263" bestFit="1" customWidth="1"/>
    <col min="2821" max="2821" width="9.109375" style="1263" customWidth="1"/>
    <col min="2822" max="2822" width="9.33203125" style="1263" bestFit="1" customWidth="1"/>
    <col min="2823" max="3072" width="11.44140625" style="1263"/>
    <col min="3073" max="3073" width="7.88671875" style="1263" customWidth="1"/>
    <col min="3074" max="3074" width="88.109375" style="1263" bestFit="1" customWidth="1"/>
    <col min="3075" max="3075" width="10" style="1263" bestFit="1" customWidth="1"/>
    <col min="3076" max="3076" width="9.5546875" style="1263" bestFit="1" customWidth="1"/>
    <col min="3077" max="3077" width="9.109375" style="1263" customWidth="1"/>
    <col min="3078" max="3078" width="9.33203125" style="1263" bestFit="1" customWidth="1"/>
    <col min="3079" max="3328" width="11.44140625" style="1263"/>
    <col min="3329" max="3329" width="7.88671875" style="1263" customWidth="1"/>
    <col min="3330" max="3330" width="88.109375" style="1263" bestFit="1" customWidth="1"/>
    <col min="3331" max="3331" width="10" style="1263" bestFit="1" customWidth="1"/>
    <col min="3332" max="3332" width="9.5546875" style="1263" bestFit="1" customWidth="1"/>
    <col min="3333" max="3333" width="9.109375" style="1263" customWidth="1"/>
    <col min="3334" max="3334" width="9.33203125" style="1263" bestFit="1" customWidth="1"/>
    <col min="3335" max="3584" width="11.44140625" style="1263"/>
    <col min="3585" max="3585" width="7.88671875" style="1263" customWidth="1"/>
    <col min="3586" max="3586" width="88.109375" style="1263" bestFit="1" customWidth="1"/>
    <col min="3587" max="3587" width="10" style="1263" bestFit="1" customWidth="1"/>
    <col min="3588" max="3588" width="9.5546875" style="1263" bestFit="1" customWidth="1"/>
    <col min="3589" max="3589" width="9.109375" style="1263" customWidth="1"/>
    <col min="3590" max="3590" width="9.33203125" style="1263" bestFit="1" customWidth="1"/>
    <col min="3591" max="3840" width="11.44140625" style="1263"/>
    <col min="3841" max="3841" width="7.88671875" style="1263" customWidth="1"/>
    <col min="3842" max="3842" width="88.109375" style="1263" bestFit="1" customWidth="1"/>
    <col min="3843" max="3843" width="10" style="1263" bestFit="1" customWidth="1"/>
    <col min="3844" max="3844" width="9.5546875" style="1263" bestFit="1" customWidth="1"/>
    <col min="3845" max="3845" width="9.109375" style="1263" customWidth="1"/>
    <col min="3846" max="3846" width="9.33203125" style="1263" bestFit="1" customWidth="1"/>
    <col min="3847" max="4096" width="11.44140625" style="1263"/>
    <col min="4097" max="4097" width="7.88671875" style="1263" customWidth="1"/>
    <col min="4098" max="4098" width="88.109375" style="1263" bestFit="1" customWidth="1"/>
    <col min="4099" max="4099" width="10" style="1263" bestFit="1" customWidth="1"/>
    <col min="4100" max="4100" width="9.5546875" style="1263" bestFit="1" customWidth="1"/>
    <col min="4101" max="4101" width="9.109375" style="1263" customWidth="1"/>
    <col min="4102" max="4102" width="9.33203125" style="1263" bestFit="1" customWidth="1"/>
    <col min="4103" max="4352" width="11.44140625" style="1263"/>
    <col min="4353" max="4353" width="7.88671875" style="1263" customWidth="1"/>
    <col min="4354" max="4354" width="88.109375" style="1263" bestFit="1" customWidth="1"/>
    <col min="4355" max="4355" width="10" style="1263" bestFit="1" customWidth="1"/>
    <col min="4356" max="4356" width="9.5546875" style="1263" bestFit="1" customWidth="1"/>
    <col min="4357" max="4357" width="9.109375" style="1263" customWidth="1"/>
    <col min="4358" max="4358" width="9.33203125" style="1263" bestFit="1" customWidth="1"/>
    <col min="4359" max="4608" width="11.44140625" style="1263"/>
    <col min="4609" max="4609" width="7.88671875" style="1263" customWidth="1"/>
    <col min="4610" max="4610" width="88.109375" style="1263" bestFit="1" customWidth="1"/>
    <col min="4611" max="4611" width="10" style="1263" bestFit="1" customWidth="1"/>
    <col min="4612" max="4612" width="9.5546875" style="1263" bestFit="1" customWidth="1"/>
    <col min="4613" max="4613" width="9.109375" style="1263" customWidth="1"/>
    <col min="4614" max="4614" width="9.33203125" style="1263" bestFit="1" customWidth="1"/>
    <col min="4615" max="4864" width="11.44140625" style="1263"/>
    <col min="4865" max="4865" width="7.88671875" style="1263" customWidth="1"/>
    <col min="4866" max="4866" width="88.109375" style="1263" bestFit="1" customWidth="1"/>
    <col min="4867" max="4867" width="10" style="1263" bestFit="1" customWidth="1"/>
    <col min="4868" max="4868" width="9.5546875" style="1263" bestFit="1" customWidth="1"/>
    <col min="4869" max="4869" width="9.109375" style="1263" customWidth="1"/>
    <col min="4870" max="4870" width="9.33203125" style="1263" bestFit="1" customWidth="1"/>
    <col min="4871" max="5120" width="11.44140625" style="1263"/>
    <col min="5121" max="5121" width="7.88671875" style="1263" customWidth="1"/>
    <col min="5122" max="5122" width="88.109375" style="1263" bestFit="1" customWidth="1"/>
    <col min="5123" max="5123" width="10" style="1263" bestFit="1" customWidth="1"/>
    <col min="5124" max="5124" width="9.5546875" style="1263" bestFit="1" customWidth="1"/>
    <col min="5125" max="5125" width="9.109375" style="1263" customWidth="1"/>
    <col min="5126" max="5126" width="9.33203125" style="1263" bestFit="1" customWidth="1"/>
    <col min="5127" max="5376" width="11.44140625" style="1263"/>
    <col min="5377" max="5377" width="7.88671875" style="1263" customWidth="1"/>
    <col min="5378" max="5378" width="88.109375" style="1263" bestFit="1" customWidth="1"/>
    <col min="5379" max="5379" width="10" style="1263" bestFit="1" customWidth="1"/>
    <col min="5380" max="5380" width="9.5546875" style="1263" bestFit="1" customWidth="1"/>
    <col min="5381" max="5381" width="9.109375" style="1263" customWidth="1"/>
    <col min="5382" max="5382" width="9.33203125" style="1263" bestFit="1" customWidth="1"/>
    <col min="5383" max="5632" width="11.44140625" style="1263"/>
    <col min="5633" max="5633" width="7.88671875" style="1263" customWidth="1"/>
    <col min="5634" max="5634" width="88.109375" style="1263" bestFit="1" customWidth="1"/>
    <col min="5635" max="5635" width="10" style="1263" bestFit="1" customWidth="1"/>
    <col min="5636" max="5636" width="9.5546875" style="1263" bestFit="1" customWidth="1"/>
    <col min="5637" max="5637" width="9.109375" style="1263" customWidth="1"/>
    <col min="5638" max="5638" width="9.33203125" style="1263" bestFit="1" customWidth="1"/>
    <col min="5639" max="5888" width="11.44140625" style="1263"/>
    <col min="5889" max="5889" width="7.88671875" style="1263" customWidth="1"/>
    <col min="5890" max="5890" width="88.109375" style="1263" bestFit="1" customWidth="1"/>
    <col min="5891" max="5891" width="10" style="1263" bestFit="1" customWidth="1"/>
    <col min="5892" max="5892" width="9.5546875" style="1263" bestFit="1" customWidth="1"/>
    <col min="5893" max="5893" width="9.109375" style="1263" customWidth="1"/>
    <col min="5894" max="5894" width="9.33203125" style="1263" bestFit="1" customWidth="1"/>
    <col min="5895" max="6144" width="11.44140625" style="1263"/>
    <col min="6145" max="6145" width="7.88671875" style="1263" customWidth="1"/>
    <col min="6146" max="6146" width="88.109375" style="1263" bestFit="1" customWidth="1"/>
    <col min="6147" max="6147" width="10" style="1263" bestFit="1" customWidth="1"/>
    <col min="6148" max="6148" width="9.5546875" style="1263" bestFit="1" customWidth="1"/>
    <col min="6149" max="6149" width="9.109375" style="1263" customWidth="1"/>
    <col min="6150" max="6150" width="9.33203125" style="1263" bestFit="1" customWidth="1"/>
    <col min="6151" max="6400" width="11.44140625" style="1263"/>
    <col min="6401" max="6401" width="7.88671875" style="1263" customWidth="1"/>
    <col min="6402" max="6402" width="88.109375" style="1263" bestFit="1" customWidth="1"/>
    <col min="6403" max="6403" width="10" style="1263" bestFit="1" customWidth="1"/>
    <col min="6404" max="6404" width="9.5546875" style="1263" bestFit="1" customWidth="1"/>
    <col min="6405" max="6405" width="9.109375" style="1263" customWidth="1"/>
    <col min="6406" max="6406" width="9.33203125" style="1263" bestFit="1" customWidth="1"/>
    <col min="6407" max="6656" width="11.44140625" style="1263"/>
    <col min="6657" max="6657" width="7.88671875" style="1263" customWidth="1"/>
    <col min="6658" max="6658" width="88.109375" style="1263" bestFit="1" customWidth="1"/>
    <col min="6659" max="6659" width="10" style="1263" bestFit="1" customWidth="1"/>
    <col min="6660" max="6660" width="9.5546875" style="1263" bestFit="1" customWidth="1"/>
    <col min="6661" max="6661" width="9.109375" style="1263" customWidth="1"/>
    <col min="6662" max="6662" width="9.33203125" style="1263" bestFit="1" customWidth="1"/>
    <col min="6663" max="6912" width="11.44140625" style="1263"/>
    <col min="6913" max="6913" width="7.88671875" style="1263" customWidth="1"/>
    <col min="6914" max="6914" width="88.109375" style="1263" bestFit="1" customWidth="1"/>
    <col min="6915" max="6915" width="10" style="1263" bestFit="1" customWidth="1"/>
    <col min="6916" max="6916" width="9.5546875" style="1263" bestFit="1" customWidth="1"/>
    <col min="6917" max="6917" width="9.109375" style="1263" customWidth="1"/>
    <col min="6918" max="6918" width="9.33203125" style="1263" bestFit="1" customWidth="1"/>
    <col min="6919" max="7168" width="11.44140625" style="1263"/>
    <col min="7169" max="7169" width="7.88671875" style="1263" customWidth="1"/>
    <col min="7170" max="7170" width="88.109375" style="1263" bestFit="1" customWidth="1"/>
    <col min="7171" max="7171" width="10" style="1263" bestFit="1" customWidth="1"/>
    <col min="7172" max="7172" width="9.5546875" style="1263" bestFit="1" customWidth="1"/>
    <col min="7173" max="7173" width="9.109375" style="1263" customWidth="1"/>
    <col min="7174" max="7174" width="9.33203125" style="1263" bestFit="1" customWidth="1"/>
    <col min="7175" max="7424" width="11.44140625" style="1263"/>
    <col min="7425" max="7425" width="7.88671875" style="1263" customWidth="1"/>
    <col min="7426" max="7426" width="88.109375" style="1263" bestFit="1" customWidth="1"/>
    <col min="7427" max="7427" width="10" style="1263" bestFit="1" customWidth="1"/>
    <col min="7428" max="7428" width="9.5546875" style="1263" bestFit="1" customWidth="1"/>
    <col min="7429" max="7429" width="9.109375" style="1263" customWidth="1"/>
    <col min="7430" max="7430" width="9.33203125" style="1263" bestFit="1" customWidth="1"/>
    <col min="7431" max="7680" width="11.44140625" style="1263"/>
    <col min="7681" max="7681" width="7.88671875" style="1263" customWidth="1"/>
    <col min="7682" max="7682" width="88.109375" style="1263" bestFit="1" customWidth="1"/>
    <col min="7683" max="7683" width="10" style="1263" bestFit="1" customWidth="1"/>
    <col min="7684" max="7684" width="9.5546875" style="1263" bestFit="1" customWidth="1"/>
    <col min="7685" max="7685" width="9.109375" style="1263" customWidth="1"/>
    <col min="7686" max="7686" width="9.33203125" style="1263" bestFit="1" customWidth="1"/>
    <col min="7687" max="7936" width="11.44140625" style="1263"/>
    <col min="7937" max="7937" width="7.88671875" style="1263" customWidth="1"/>
    <col min="7938" max="7938" width="88.109375" style="1263" bestFit="1" customWidth="1"/>
    <col min="7939" max="7939" width="10" style="1263" bestFit="1" customWidth="1"/>
    <col min="7940" max="7940" width="9.5546875" style="1263" bestFit="1" customWidth="1"/>
    <col min="7941" max="7941" width="9.109375" style="1263" customWidth="1"/>
    <col min="7942" max="7942" width="9.33203125" style="1263" bestFit="1" customWidth="1"/>
    <col min="7943" max="8192" width="11.44140625" style="1263"/>
    <col min="8193" max="8193" width="7.88671875" style="1263" customWidth="1"/>
    <col min="8194" max="8194" width="88.109375" style="1263" bestFit="1" customWidth="1"/>
    <col min="8195" max="8195" width="10" style="1263" bestFit="1" customWidth="1"/>
    <col min="8196" max="8196" width="9.5546875" style="1263" bestFit="1" customWidth="1"/>
    <col min="8197" max="8197" width="9.109375" style="1263" customWidth="1"/>
    <col min="8198" max="8198" width="9.33203125" style="1263" bestFit="1" customWidth="1"/>
    <col min="8199" max="8448" width="11.44140625" style="1263"/>
    <col min="8449" max="8449" width="7.88671875" style="1263" customWidth="1"/>
    <col min="8450" max="8450" width="88.109375" style="1263" bestFit="1" customWidth="1"/>
    <col min="8451" max="8451" width="10" style="1263" bestFit="1" customWidth="1"/>
    <col min="8452" max="8452" width="9.5546875" style="1263" bestFit="1" customWidth="1"/>
    <col min="8453" max="8453" width="9.109375" style="1263" customWidth="1"/>
    <col min="8454" max="8454" width="9.33203125" style="1263" bestFit="1" customWidth="1"/>
    <col min="8455" max="8704" width="11.44140625" style="1263"/>
    <col min="8705" max="8705" width="7.88671875" style="1263" customWidth="1"/>
    <col min="8706" max="8706" width="88.109375" style="1263" bestFit="1" customWidth="1"/>
    <col min="8707" max="8707" width="10" style="1263" bestFit="1" customWidth="1"/>
    <col min="8708" max="8708" width="9.5546875" style="1263" bestFit="1" customWidth="1"/>
    <col min="8709" max="8709" width="9.109375" style="1263" customWidth="1"/>
    <col min="8710" max="8710" width="9.33203125" style="1263" bestFit="1" customWidth="1"/>
    <col min="8711" max="8960" width="11.44140625" style="1263"/>
    <col min="8961" max="8961" width="7.88671875" style="1263" customWidth="1"/>
    <col min="8962" max="8962" width="88.109375" style="1263" bestFit="1" customWidth="1"/>
    <col min="8963" max="8963" width="10" style="1263" bestFit="1" customWidth="1"/>
    <col min="8964" max="8964" width="9.5546875" style="1263" bestFit="1" customWidth="1"/>
    <col min="8965" max="8965" width="9.109375" style="1263" customWidth="1"/>
    <col min="8966" max="8966" width="9.33203125" style="1263" bestFit="1" customWidth="1"/>
    <col min="8967" max="9216" width="11.44140625" style="1263"/>
    <col min="9217" max="9217" width="7.88671875" style="1263" customWidth="1"/>
    <col min="9218" max="9218" width="88.109375" style="1263" bestFit="1" customWidth="1"/>
    <col min="9219" max="9219" width="10" style="1263" bestFit="1" customWidth="1"/>
    <col min="9220" max="9220" width="9.5546875" style="1263" bestFit="1" customWidth="1"/>
    <col min="9221" max="9221" width="9.109375" style="1263" customWidth="1"/>
    <col min="9222" max="9222" width="9.33203125" style="1263" bestFit="1" customWidth="1"/>
    <col min="9223" max="9472" width="11.44140625" style="1263"/>
    <col min="9473" max="9473" width="7.88671875" style="1263" customWidth="1"/>
    <col min="9474" max="9474" width="88.109375" style="1263" bestFit="1" customWidth="1"/>
    <col min="9475" max="9475" width="10" style="1263" bestFit="1" customWidth="1"/>
    <col min="9476" max="9476" width="9.5546875" style="1263" bestFit="1" customWidth="1"/>
    <col min="9477" max="9477" width="9.109375" style="1263" customWidth="1"/>
    <col min="9478" max="9478" width="9.33203125" style="1263" bestFit="1" customWidth="1"/>
    <col min="9479" max="9728" width="11.44140625" style="1263"/>
    <col min="9729" max="9729" width="7.88671875" style="1263" customWidth="1"/>
    <col min="9730" max="9730" width="88.109375" style="1263" bestFit="1" customWidth="1"/>
    <col min="9731" max="9731" width="10" style="1263" bestFit="1" customWidth="1"/>
    <col min="9732" max="9732" width="9.5546875" style="1263" bestFit="1" customWidth="1"/>
    <col min="9733" max="9733" width="9.109375" style="1263" customWidth="1"/>
    <col min="9734" max="9734" width="9.33203125" style="1263" bestFit="1" customWidth="1"/>
    <col min="9735" max="9984" width="11.44140625" style="1263"/>
    <col min="9985" max="9985" width="7.88671875" style="1263" customWidth="1"/>
    <col min="9986" max="9986" width="88.109375" style="1263" bestFit="1" customWidth="1"/>
    <col min="9987" max="9987" width="10" style="1263" bestFit="1" customWidth="1"/>
    <col min="9988" max="9988" width="9.5546875" style="1263" bestFit="1" customWidth="1"/>
    <col min="9989" max="9989" width="9.109375" style="1263" customWidth="1"/>
    <col min="9990" max="9990" width="9.33203125" style="1263" bestFit="1" customWidth="1"/>
    <col min="9991" max="10240" width="11.44140625" style="1263"/>
    <col min="10241" max="10241" width="7.88671875" style="1263" customWidth="1"/>
    <col min="10242" max="10242" width="88.109375" style="1263" bestFit="1" customWidth="1"/>
    <col min="10243" max="10243" width="10" style="1263" bestFit="1" customWidth="1"/>
    <col min="10244" max="10244" width="9.5546875" style="1263" bestFit="1" customWidth="1"/>
    <col min="10245" max="10245" width="9.109375" style="1263" customWidth="1"/>
    <col min="10246" max="10246" width="9.33203125" style="1263" bestFit="1" customWidth="1"/>
    <col min="10247" max="10496" width="11.44140625" style="1263"/>
    <col min="10497" max="10497" width="7.88671875" style="1263" customWidth="1"/>
    <col min="10498" max="10498" width="88.109375" style="1263" bestFit="1" customWidth="1"/>
    <col min="10499" max="10499" width="10" style="1263" bestFit="1" customWidth="1"/>
    <col min="10500" max="10500" width="9.5546875" style="1263" bestFit="1" customWidth="1"/>
    <col min="10501" max="10501" width="9.109375" style="1263" customWidth="1"/>
    <col min="10502" max="10502" width="9.33203125" style="1263" bestFit="1" customWidth="1"/>
    <col min="10503" max="10752" width="11.44140625" style="1263"/>
    <col min="10753" max="10753" width="7.88671875" style="1263" customWidth="1"/>
    <col min="10754" max="10754" width="88.109375" style="1263" bestFit="1" customWidth="1"/>
    <col min="10755" max="10755" width="10" style="1263" bestFit="1" customWidth="1"/>
    <col min="10756" max="10756" width="9.5546875" style="1263" bestFit="1" customWidth="1"/>
    <col min="10757" max="10757" width="9.109375" style="1263" customWidth="1"/>
    <col min="10758" max="10758" width="9.33203125" style="1263" bestFit="1" customWidth="1"/>
    <col min="10759" max="11008" width="11.44140625" style="1263"/>
    <col min="11009" max="11009" width="7.88671875" style="1263" customWidth="1"/>
    <col min="11010" max="11010" width="88.109375" style="1263" bestFit="1" customWidth="1"/>
    <col min="11011" max="11011" width="10" style="1263" bestFit="1" customWidth="1"/>
    <col min="11012" max="11012" width="9.5546875" style="1263" bestFit="1" customWidth="1"/>
    <col min="11013" max="11013" width="9.109375" style="1263" customWidth="1"/>
    <col min="11014" max="11014" width="9.33203125" style="1263" bestFit="1" customWidth="1"/>
    <col min="11015" max="11264" width="11.44140625" style="1263"/>
    <col min="11265" max="11265" width="7.88671875" style="1263" customWidth="1"/>
    <col min="11266" max="11266" width="88.109375" style="1263" bestFit="1" customWidth="1"/>
    <col min="11267" max="11267" width="10" style="1263" bestFit="1" customWidth="1"/>
    <col min="11268" max="11268" width="9.5546875" style="1263" bestFit="1" customWidth="1"/>
    <col min="11269" max="11269" width="9.109375" style="1263" customWidth="1"/>
    <col min="11270" max="11270" width="9.33203125" style="1263" bestFit="1" customWidth="1"/>
    <col min="11271" max="11520" width="11.44140625" style="1263"/>
    <col min="11521" max="11521" width="7.88671875" style="1263" customWidth="1"/>
    <col min="11522" max="11522" width="88.109375" style="1263" bestFit="1" customWidth="1"/>
    <col min="11523" max="11523" width="10" style="1263" bestFit="1" customWidth="1"/>
    <col min="11524" max="11524" width="9.5546875" style="1263" bestFit="1" customWidth="1"/>
    <col min="11525" max="11525" width="9.109375" style="1263" customWidth="1"/>
    <col min="11526" max="11526" width="9.33203125" style="1263" bestFit="1" customWidth="1"/>
    <col min="11527" max="11776" width="11.44140625" style="1263"/>
    <col min="11777" max="11777" width="7.88671875" style="1263" customWidth="1"/>
    <col min="11778" max="11778" width="88.109375" style="1263" bestFit="1" customWidth="1"/>
    <col min="11779" max="11779" width="10" style="1263" bestFit="1" customWidth="1"/>
    <col min="11780" max="11780" width="9.5546875" style="1263" bestFit="1" customWidth="1"/>
    <col min="11781" max="11781" width="9.109375" style="1263" customWidth="1"/>
    <col min="11782" max="11782" width="9.33203125" style="1263" bestFit="1" customWidth="1"/>
    <col min="11783" max="12032" width="11.44140625" style="1263"/>
    <col min="12033" max="12033" width="7.88671875" style="1263" customWidth="1"/>
    <col min="12034" max="12034" width="88.109375" style="1263" bestFit="1" customWidth="1"/>
    <col min="12035" max="12035" width="10" style="1263" bestFit="1" customWidth="1"/>
    <col min="12036" max="12036" width="9.5546875" style="1263" bestFit="1" customWidth="1"/>
    <col min="12037" max="12037" width="9.109375" style="1263" customWidth="1"/>
    <col min="12038" max="12038" width="9.33203125" style="1263" bestFit="1" customWidth="1"/>
    <col min="12039" max="12288" width="11.44140625" style="1263"/>
    <col min="12289" max="12289" width="7.88671875" style="1263" customWidth="1"/>
    <col min="12290" max="12290" width="88.109375" style="1263" bestFit="1" customWidth="1"/>
    <col min="12291" max="12291" width="10" style="1263" bestFit="1" customWidth="1"/>
    <col min="12292" max="12292" width="9.5546875" style="1263" bestFit="1" customWidth="1"/>
    <col min="12293" max="12293" width="9.109375" style="1263" customWidth="1"/>
    <col min="12294" max="12294" width="9.33203125" style="1263" bestFit="1" customWidth="1"/>
    <col min="12295" max="12544" width="11.44140625" style="1263"/>
    <col min="12545" max="12545" width="7.88671875" style="1263" customWidth="1"/>
    <col min="12546" max="12546" width="88.109375" style="1263" bestFit="1" customWidth="1"/>
    <col min="12547" max="12547" width="10" style="1263" bestFit="1" customWidth="1"/>
    <col min="12548" max="12548" width="9.5546875" style="1263" bestFit="1" customWidth="1"/>
    <col min="12549" max="12549" width="9.109375" style="1263" customWidth="1"/>
    <col min="12550" max="12550" width="9.33203125" style="1263" bestFit="1" customWidth="1"/>
    <col min="12551" max="12800" width="11.44140625" style="1263"/>
    <col min="12801" max="12801" width="7.88671875" style="1263" customWidth="1"/>
    <col min="12802" max="12802" width="88.109375" style="1263" bestFit="1" customWidth="1"/>
    <col min="12803" max="12803" width="10" style="1263" bestFit="1" customWidth="1"/>
    <col min="12804" max="12804" width="9.5546875" style="1263" bestFit="1" customWidth="1"/>
    <col min="12805" max="12805" width="9.109375" style="1263" customWidth="1"/>
    <col min="12806" max="12806" width="9.33203125" style="1263" bestFit="1" customWidth="1"/>
    <col min="12807" max="13056" width="11.44140625" style="1263"/>
    <col min="13057" max="13057" width="7.88671875" style="1263" customWidth="1"/>
    <col min="13058" max="13058" width="88.109375" style="1263" bestFit="1" customWidth="1"/>
    <col min="13059" max="13059" width="10" style="1263" bestFit="1" customWidth="1"/>
    <col min="13060" max="13060" width="9.5546875" style="1263" bestFit="1" customWidth="1"/>
    <col min="13061" max="13061" width="9.109375" style="1263" customWidth="1"/>
    <col min="13062" max="13062" width="9.33203125" style="1263" bestFit="1" customWidth="1"/>
    <col min="13063" max="13312" width="11.44140625" style="1263"/>
    <col min="13313" max="13313" width="7.88671875" style="1263" customWidth="1"/>
    <col min="13314" max="13314" width="88.109375" style="1263" bestFit="1" customWidth="1"/>
    <col min="13315" max="13315" width="10" style="1263" bestFit="1" customWidth="1"/>
    <col min="13316" max="13316" width="9.5546875" style="1263" bestFit="1" customWidth="1"/>
    <col min="13317" max="13317" width="9.109375" style="1263" customWidth="1"/>
    <col min="13318" max="13318" width="9.33203125" style="1263" bestFit="1" customWidth="1"/>
    <col min="13319" max="13568" width="11.44140625" style="1263"/>
    <col min="13569" max="13569" width="7.88671875" style="1263" customWidth="1"/>
    <col min="13570" max="13570" width="88.109375" style="1263" bestFit="1" customWidth="1"/>
    <col min="13571" max="13571" width="10" style="1263" bestFit="1" customWidth="1"/>
    <col min="13572" max="13572" width="9.5546875" style="1263" bestFit="1" customWidth="1"/>
    <col min="13573" max="13573" width="9.109375" style="1263" customWidth="1"/>
    <col min="13574" max="13574" width="9.33203125" style="1263" bestFit="1" customWidth="1"/>
    <col min="13575" max="13824" width="11.44140625" style="1263"/>
    <col min="13825" max="13825" width="7.88671875" style="1263" customWidth="1"/>
    <col min="13826" max="13826" width="88.109375" style="1263" bestFit="1" customWidth="1"/>
    <col min="13827" max="13827" width="10" style="1263" bestFit="1" customWidth="1"/>
    <col min="13828" max="13828" width="9.5546875" style="1263" bestFit="1" customWidth="1"/>
    <col min="13829" max="13829" width="9.109375" style="1263" customWidth="1"/>
    <col min="13830" max="13830" width="9.33203125" style="1263" bestFit="1" customWidth="1"/>
    <col min="13831" max="14080" width="11.44140625" style="1263"/>
    <col min="14081" max="14081" width="7.88671875" style="1263" customWidth="1"/>
    <col min="14082" max="14082" width="88.109375" style="1263" bestFit="1" customWidth="1"/>
    <col min="14083" max="14083" width="10" style="1263" bestFit="1" customWidth="1"/>
    <col min="14084" max="14084" width="9.5546875" style="1263" bestFit="1" customWidth="1"/>
    <col min="14085" max="14085" width="9.109375" style="1263" customWidth="1"/>
    <col min="14086" max="14086" width="9.33203125" style="1263" bestFit="1" customWidth="1"/>
    <col min="14087" max="14336" width="11.44140625" style="1263"/>
    <col min="14337" max="14337" width="7.88671875" style="1263" customWidth="1"/>
    <col min="14338" max="14338" width="88.109375" style="1263" bestFit="1" customWidth="1"/>
    <col min="14339" max="14339" width="10" style="1263" bestFit="1" customWidth="1"/>
    <col min="14340" max="14340" width="9.5546875" style="1263" bestFit="1" customWidth="1"/>
    <col min="14341" max="14341" width="9.109375" style="1263" customWidth="1"/>
    <col min="14342" max="14342" width="9.33203125" style="1263" bestFit="1" customWidth="1"/>
    <col min="14343" max="14592" width="11.44140625" style="1263"/>
    <col min="14593" max="14593" width="7.88671875" style="1263" customWidth="1"/>
    <col min="14594" max="14594" width="88.109375" style="1263" bestFit="1" customWidth="1"/>
    <col min="14595" max="14595" width="10" style="1263" bestFit="1" customWidth="1"/>
    <col min="14596" max="14596" width="9.5546875" style="1263" bestFit="1" customWidth="1"/>
    <col min="14597" max="14597" width="9.109375" style="1263" customWidth="1"/>
    <col min="14598" max="14598" width="9.33203125" style="1263" bestFit="1" customWidth="1"/>
    <col min="14599" max="14848" width="11.44140625" style="1263"/>
    <col min="14849" max="14849" width="7.88671875" style="1263" customWidth="1"/>
    <col min="14850" max="14850" width="88.109375" style="1263" bestFit="1" customWidth="1"/>
    <col min="14851" max="14851" width="10" style="1263" bestFit="1" customWidth="1"/>
    <col min="14852" max="14852" width="9.5546875" style="1263" bestFit="1" customWidth="1"/>
    <col min="14853" max="14853" width="9.109375" style="1263" customWidth="1"/>
    <col min="14854" max="14854" width="9.33203125" style="1263" bestFit="1" customWidth="1"/>
    <col min="14855" max="15104" width="11.44140625" style="1263"/>
    <col min="15105" max="15105" width="7.88671875" style="1263" customWidth="1"/>
    <col min="15106" max="15106" width="88.109375" style="1263" bestFit="1" customWidth="1"/>
    <col min="15107" max="15107" width="10" style="1263" bestFit="1" customWidth="1"/>
    <col min="15108" max="15108" width="9.5546875" style="1263" bestFit="1" customWidth="1"/>
    <col min="15109" max="15109" width="9.109375" style="1263" customWidth="1"/>
    <col min="15110" max="15110" width="9.33203125" style="1263" bestFit="1" customWidth="1"/>
    <col min="15111" max="15360" width="11.44140625" style="1263"/>
    <col min="15361" max="15361" width="7.88671875" style="1263" customWidth="1"/>
    <col min="15362" max="15362" width="88.109375" style="1263" bestFit="1" customWidth="1"/>
    <col min="15363" max="15363" width="10" style="1263" bestFit="1" customWidth="1"/>
    <col min="15364" max="15364" width="9.5546875" style="1263" bestFit="1" customWidth="1"/>
    <col min="15365" max="15365" width="9.109375" style="1263" customWidth="1"/>
    <col min="15366" max="15366" width="9.33203125" style="1263" bestFit="1" customWidth="1"/>
    <col min="15367" max="15616" width="11.44140625" style="1263"/>
    <col min="15617" max="15617" width="7.88671875" style="1263" customWidth="1"/>
    <col min="15618" max="15618" width="88.109375" style="1263" bestFit="1" customWidth="1"/>
    <col min="15619" max="15619" width="10" style="1263" bestFit="1" customWidth="1"/>
    <col min="15620" max="15620" width="9.5546875" style="1263" bestFit="1" customWidth="1"/>
    <col min="15621" max="15621" width="9.109375" style="1263" customWidth="1"/>
    <col min="15622" max="15622" width="9.33203125" style="1263" bestFit="1" customWidth="1"/>
    <col min="15623" max="15872" width="11.44140625" style="1263"/>
    <col min="15873" max="15873" width="7.88671875" style="1263" customWidth="1"/>
    <col min="15874" max="15874" width="88.109375" style="1263" bestFit="1" customWidth="1"/>
    <col min="15875" max="15875" width="10" style="1263" bestFit="1" customWidth="1"/>
    <col min="15876" max="15876" width="9.5546875" style="1263" bestFit="1" customWidth="1"/>
    <col min="15877" max="15877" width="9.109375" style="1263" customWidth="1"/>
    <col min="15878" max="15878" width="9.33203125" style="1263" bestFit="1" customWidth="1"/>
    <col min="15879" max="16128" width="11.44140625" style="1263"/>
    <col min="16129" max="16129" width="7.88671875" style="1263" customWidth="1"/>
    <col min="16130" max="16130" width="88.109375" style="1263" bestFit="1" customWidth="1"/>
    <col min="16131" max="16131" width="10" style="1263" bestFit="1" customWidth="1"/>
    <col min="16132" max="16132" width="9.5546875" style="1263" bestFit="1" customWidth="1"/>
    <col min="16133" max="16133" width="9.109375" style="1263" customWidth="1"/>
    <col min="16134" max="16134" width="9.33203125" style="1263" bestFit="1" customWidth="1"/>
    <col min="16135" max="16384" width="11.44140625" style="1263"/>
  </cols>
  <sheetData>
    <row r="1" spans="1:15" ht="17.399999999999999">
      <c r="A1" s="1277"/>
      <c r="B1" s="1278"/>
      <c r="C1" s="1278"/>
      <c r="D1" s="1278"/>
      <c r="E1" s="2163"/>
      <c r="F1" s="2163"/>
    </row>
    <row r="2" spans="1:15" ht="17.399999999999999">
      <c r="A2" s="1279" t="s">
        <v>713</v>
      </c>
      <c r="B2" s="1280"/>
      <c r="C2" s="1280"/>
      <c r="D2" s="1280"/>
      <c r="E2" s="1280"/>
      <c r="F2" s="1281"/>
    </row>
    <row r="3" spans="1:15" ht="17.399999999999999">
      <c r="A3" s="1282"/>
      <c r="B3" s="1282"/>
      <c r="C3" s="1282"/>
      <c r="D3" s="1282"/>
      <c r="E3" s="1282"/>
      <c r="F3" s="1283"/>
    </row>
    <row r="4" spans="1:15" ht="17.399999999999999">
      <c r="A4" s="1284" t="s">
        <v>246</v>
      </c>
      <c r="B4" s="1284"/>
      <c r="C4" s="1284"/>
      <c r="D4" s="1284"/>
      <c r="E4" s="1284"/>
      <c r="F4" s="1285"/>
    </row>
    <row r="5" spans="1:15" ht="17.399999999999999">
      <c r="A5" s="1284" t="s">
        <v>229</v>
      </c>
      <c r="B5" s="1284"/>
      <c r="C5" s="1284"/>
      <c r="D5" s="1284"/>
      <c r="E5" s="1284"/>
      <c r="F5" s="1285"/>
    </row>
    <row r="6" spans="1:15" ht="17.399999999999999">
      <c r="A6" s="1286" t="s">
        <v>227</v>
      </c>
      <c r="B6" s="1287"/>
      <c r="C6" s="1287"/>
      <c r="D6" s="1287"/>
      <c r="E6" s="1287"/>
      <c r="F6" s="1287"/>
    </row>
    <row r="7" spans="1:15" ht="13.8" thickBot="1">
      <c r="A7" s="1288" t="s">
        <v>7</v>
      </c>
      <c r="B7" s="1288"/>
      <c r="C7" s="1288"/>
      <c r="D7" s="1288"/>
      <c r="E7" s="1288"/>
      <c r="F7" s="1289"/>
    </row>
    <row r="8" spans="1:15" ht="39.6">
      <c r="A8" s="1889" t="s">
        <v>8</v>
      </c>
      <c r="B8" s="1890" t="s">
        <v>125</v>
      </c>
      <c r="C8" s="1430" t="s">
        <v>109</v>
      </c>
      <c r="D8" s="1430" t="s">
        <v>158</v>
      </c>
      <c r="E8" s="1430" t="s">
        <v>146</v>
      </c>
      <c r="F8" s="1893" t="s">
        <v>307</v>
      </c>
    </row>
    <row r="9" spans="1:15">
      <c r="A9" s="1290" t="s">
        <v>9</v>
      </c>
      <c r="B9" s="1291" t="s">
        <v>10</v>
      </c>
      <c r="C9" s="1292">
        <v>60</v>
      </c>
      <c r="D9" s="1292">
        <v>3</v>
      </c>
      <c r="E9" s="1292">
        <v>57</v>
      </c>
      <c r="F9" s="1293">
        <f>E9/C9</f>
        <v>0.95</v>
      </c>
      <c r="H9" s="1263" t="s">
        <v>9</v>
      </c>
      <c r="L9" s="1795">
        <f>SUM(C9:C14)</f>
        <v>226</v>
      </c>
      <c r="O9" s="1765">
        <f>6/226</f>
        <v>2.6548672566371681E-2</v>
      </c>
    </row>
    <row r="10" spans="1:15">
      <c r="A10" s="1294" t="s">
        <v>11</v>
      </c>
      <c r="B10" s="1295" t="s">
        <v>12</v>
      </c>
      <c r="C10" s="1296">
        <v>32</v>
      </c>
      <c r="D10" s="1296"/>
      <c r="E10" s="1296">
        <v>32</v>
      </c>
      <c r="F10" s="1297">
        <f t="shared" ref="F10:F64" si="0">E10/C10</f>
        <v>1</v>
      </c>
      <c r="H10" s="1263" t="s">
        <v>11</v>
      </c>
    </row>
    <row r="11" spans="1:15">
      <c r="A11" s="1294" t="s">
        <v>13</v>
      </c>
      <c r="B11" s="1295" t="s">
        <v>14</v>
      </c>
      <c r="C11" s="1296">
        <v>4</v>
      </c>
      <c r="D11" s="1296"/>
      <c r="E11" s="1296">
        <v>4</v>
      </c>
      <c r="F11" s="1297">
        <f t="shared" si="0"/>
        <v>1</v>
      </c>
      <c r="H11" s="1263" t="s">
        <v>13</v>
      </c>
    </row>
    <row r="12" spans="1:15">
      <c r="A12" s="1294" t="s">
        <v>15</v>
      </c>
      <c r="B12" s="1295" t="s">
        <v>16</v>
      </c>
      <c r="C12" s="1296">
        <v>17</v>
      </c>
      <c r="D12" s="1296"/>
      <c r="E12" s="1296">
        <v>17</v>
      </c>
      <c r="F12" s="1298">
        <f t="shared" si="0"/>
        <v>1</v>
      </c>
      <c r="H12" s="1263" t="s">
        <v>15</v>
      </c>
      <c r="L12" s="1795">
        <f>SUM(C15:C32)</f>
        <v>356</v>
      </c>
      <c r="M12" s="1795">
        <f>SUM(C56:C61)</f>
        <v>99</v>
      </c>
      <c r="N12" s="1796">
        <f>L12+M12</f>
        <v>455</v>
      </c>
      <c r="O12" s="1765">
        <f>17/455</f>
        <v>3.7362637362637362E-2</v>
      </c>
    </row>
    <row r="13" spans="1:15">
      <c r="A13" s="1294" t="s">
        <v>17</v>
      </c>
      <c r="B13" s="1295" t="s">
        <v>18</v>
      </c>
      <c r="C13" s="1296">
        <v>39</v>
      </c>
      <c r="D13" s="1296">
        <v>1</v>
      </c>
      <c r="E13" s="1296">
        <v>38</v>
      </c>
      <c r="F13" s="1297">
        <f t="shared" si="0"/>
        <v>0.97435897435897434</v>
      </c>
      <c r="H13" s="1263" t="s">
        <v>17</v>
      </c>
    </row>
    <row r="14" spans="1:15">
      <c r="A14" s="1294" t="s">
        <v>19</v>
      </c>
      <c r="B14" s="1295" t="s">
        <v>20</v>
      </c>
      <c r="C14" s="1296">
        <v>74</v>
      </c>
      <c r="D14" s="1296">
        <v>2</v>
      </c>
      <c r="E14" s="1296">
        <v>72</v>
      </c>
      <c r="F14" s="1297">
        <f t="shared" si="0"/>
        <v>0.97297297297297303</v>
      </c>
      <c r="H14" s="1263" t="s">
        <v>19</v>
      </c>
    </row>
    <row r="15" spans="1:15">
      <c r="A15" s="1294" t="s">
        <v>21</v>
      </c>
      <c r="B15" s="1295" t="s">
        <v>22</v>
      </c>
      <c r="C15" s="1296">
        <v>27</v>
      </c>
      <c r="D15" s="1296">
        <v>1</v>
      </c>
      <c r="E15" s="1296">
        <v>26</v>
      </c>
      <c r="F15" s="1297">
        <f t="shared" si="0"/>
        <v>0.96296296296296291</v>
      </c>
      <c r="H15" s="1263" t="s">
        <v>21</v>
      </c>
    </row>
    <row r="16" spans="1:15">
      <c r="A16" s="1294" t="s">
        <v>23</v>
      </c>
      <c r="B16" s="1295" t="s">
        <v>24</v>
      </c>
      <c r="C16" s="1296">
        <v>8</v>
      </c>
      <c r="D16" s="1296"/>
      <c r="E16" s="1296">
        <v>8</v>
      </c>
      <c r="F16" s="1297">
        <f t="shared" si="0"/>
        <v>1</v>
      </c>
      <c r="H16" s="1263" t="s">
        <v>23</v>
      </c>
      <c r="L16" s="1795">
        <f>SUM(C33:C55)</f>
        <v>438</v>
      </c>
      <c r="O16" s="1765">
        <f>15/438</f>
        <v>3.4246575342465752E-2</v>
      </c>
    </row>
    <row r="17" spans="1:17">
      <c r="A17" s="1294" t="s">
        <v>25</v>
      </c>
      <c r="B17" s="1295" t="s">
        <v>26</v>
      </c>
      <c r="C17" s="1296">
        <v>12</v>
      </c>
      <c r="D17" s="1296">
        <v>2</v>
      </c>
      <c r="E17" s="1296">
        <v>10</v>
      </c>
      <c r="F17" s="1297">
        <f t="shared" si="0"/>
        <v>0.83333333333333337</v>
      </c>
      <c r="H17" s="1263" t="s">
        <v>25</v>
      </c>
    </row>
    <row r="18" spans="1:17">
      <c r="A18" s="1294" t="s">
        <v>27</v>
      </c>
      <c r="B18" s="1295" t="s">
        <v>28</v>
      </c>
      <c r="C18" s="1296">
        <v>7</v>
      </c>
      <c r="D18" s="1296"/>
      <c r="E18" s="1296">
        <v>7</v>
      </c>
      <c r="F18" s="1297">
        <f t="shared" si="0"/>
        <v>1</v>
      </c>
      <c r="H18" s="1263" t="s">
        <v>27</v>
      </c>
    </row>
    <row r="19" spans="1:17">
      <c r="A19" s="1294" t="s">
        <v>29</v>
      </c>
      <c r="B19" s="1295" t="s">
        <v>30</v>
      </c>
      <c r="C19" s="1296">
        <v>49</v>
      </c>
      <c r="D19" s="1296">
        <v>2</v>
      </c>
      <c r="E19" s="1296">
        <v>47</v>
      </c>
      <c r="F19" s="1297">
        <f t="shared" si="0"/>
        <v>0.95918367346938771</v>
      </c>
      <c r="H19" s="1263" t="s">
        <v>29</v>
      </c>
      <c r="O19" s="1765">
        <f>2/38</f>
        <v>5.2631578947368418E-2</v>
      </c>
    </row>
    <row r="20" spans="1:17">
      <c r="A20" s="1294" t="s">
        <v>31</v>
      </c>
      <c r="B20" s="1295" t="s">
        <v>32</v>
      </c>
      <c r="C20" s="1296">
        <v>5</v>
      </c>
      <c r="D20" s="1296"/>
      <c r="E20" s="1296">
        <v>5</v>
      </c>
      <c r="F20" s="1297">
        <f t="shared" si="0"/>
        <v>1</v>
      </c>
      <c r="H20" s="1263" t="s">
        <v>31</v>
      </c>
    </row>
    <row r="21" spans="1:17">
      <c r="A21" s="1294" t="s">
        <v>33</v>
      </c>
      <c r="B21" s="1295" t="s">
        <v>34</v>
      </c>
      <c r="C21" s="1296">
        <v>2</v>
      </c>
      <c r="D21" s="1296">
        <v>1</v>
      </c>
      <c r="E21" s="1296">
        <v>1</v>
      </c>
      <c r="F21" s="1297">
        <f t="shared" si="0"/>
        <v>0.5</v>
      </c>
      <c r="H21" s="1263" t="s">
        <v>33</v>
      </c>
    </row>
    <row r="22" spans="1:17">
      <c r="A22" s="1294" t="s">
        <v>35</v>
      </c>
      <c r="B22" s="1299" t="s">
        <v>36</v>
      </c>
      <c r="C22" s="1296">
        <v>29</v>
      </c>
      <c r="D22" s="1296">
        <v>3</v>
      </c>
      <c r="E22" s="1296">
        <v>26</v>
      </c>
      <c r="F22" s="1297">
        <f t="shared" si="0"/>
        <v>0.89655172413793105</v>
      </c>
      <c r="H22" s="1263" t="s">
        <v>35</v>
      </c>
    </row>
    <row r="23" spans="1:17">
      <c r="A23" s="1294" t="s">
        <v>37</v>
      </c>
      <c r="B23" s="1299" t="s">
        <v>122</v>
      </c>
      <c r="C23" s="1296">
        <v>15</v>
      </c>
      <c r="D23" s="1296"/>
      <c r="E23" s="1296">
        <v>15</v>
      </c>
      <c r="F23" s="1297">
        <f t="shared" si="0"/>
        <v>1</v>
      </c>
      <c r="H23" s="1263" t="s">
        <v>37</v>
      </c>
    </row>
    <row r="24" spans="1:17">
      <c r="A24" s="1294" t="s">
        <v>38</v>
      </c>
      <c r="B24" s="1295" t="s">
        <v>39</v>
      </c>
      <c r="C24" s="1296">
        <v>52</v>
      </c>
      <c r="D24" s="1296">
        <v>4</v>
      </c>
      <c r="E24" s="1296">
        <v>48</v>
      </c>
      <c r="F24" s="1297">
        <f t="shared" si="0"/>
        <v>0.92307692307692313</v>
      </c>
      <c r="H24" s="1263" t="s">
        <v>38</v>
      </c>
    </row>
    <row r="25" spans="1:17">
      <c r="A25" s="1294" t="s">
        <v>40</v>
      </c>
      <c r="B25" s="1295" t="s">
        <v>41</v>
      </c>
      <c r="C25" s="1296">
        <v>11</v>
      </c>
      <c r="D25" s="1296"/>
      <c r="E25" s="1296">
        <v>11</v>
      </c>
      <c r="F25" s="1297">
        <f t="shared" si="0"/>
        <v>1</v>
      </c>
      <c r="H25" s="1263" t="s">
        <v>40</v>
      </c>
    </row>
    <row r="26" spans="1:17" ht="24">
      <c r="A26" s="1294" t="s">
        <v>42</v>
      </c>
      <c r="B26" s="1299" t="s">
        <v>230</v>
      </c>
      <c r="C26" s="1296">
        <v>30</v>
      </c>
      <c r="D26" s="1296">
        <v>2</v>
      </c>
      <c r="E26" s="1296">
        <v>28</v>
      </c>
      <c r="F26" s="1297">
        <f t="shared" si="0"/>
        <v>0.93333333333333335</v>
      </c>
      <c r="H26" s="1263" t="s">
        <v>42</v>
      </c>
    </row>
    <row r="27" spans="1:17">
      <c r="A27" s="1294" t="s">
        <v>43</v>
      </c>
      <c r="B27" s="1295" t="s">
        <v>44</v>
      </c>
      <c r="C27" s="1296">
        <v>28</v>
      </c>
      <c r="D27" s="1296"/>
      <c r="E27" s="1296">
        <v>28</v>
      </c>
      <c r="F27" s="1297">
        <f t="shared" si="0"/>
        <v>1</v>
      </c>
      <c r="H27" s="1263" t="s">
        <v>43</v>
      </c>
      <c r="Q27" s="1765">
        <f>2/40</f>
        <v>0.05</v>
      </c>
    </row>
    <row r="28" spans="1:17">
      <c r="A28" s="1294" t="s">
        <v>45</v>
      </c>
      <c r="B28" s="1295" t="s">
        <v>320</v>
      </c>
      <c r="C28" s="1296">
        <v>5</v>
      </c>
      <c r="D28" s="1296"/>
      <c r="E28" s="1296">
        <v>5</v>
      </c>
      <c r="F28" s="1297">
        <f t="shared" si="0"/>
        <v>1</v>
      </c>
      <c r="H28" s="1263" t="s">
        <v>45</v>
      </c>
    </row>
    <row r="29" spans="1:17">
      <c r="A29" s="1294">
        <v>21</v>
      </c>
      <c r="B29" s="546" t="s">
        <v>231</v>
      </c>
      <c r="C29" s="1296">
        <v>15</v>
      </c>
      <c r="D29" s="1948"/>
      <c r="E29" s="1296">
        <v>15</v>
      </c>
      <c r="F29" s="1297">
        <f t="shared" si="0"/>
        <v>1</v>
      </c>
      <c r="H29" s="1263" t="s">
        <v>46</v>
      </c>
    </row>
    <row r="30" spans="1:17">
      <c r="A30" s="1294" t="s">
        <v>47</v>
      </c>
      <c r="B30" s="1299" t="s">
        <v>232</v>
      </c>
      <c r="C30" s="1296">
        <v>37</v>
      </c>
      <c r="D30" s="1296">
        <v>2</v>
      </c>
      <c r="E30" s="1296">
        <v>35</v>
      </c>
      <c r="F30" s="1297">
        <f t="shared" si="0"/>
        <v>0.94594594594594594</v>
      </c>
      <c r="H30" s="1263" t="s">
        <v>47</v>
      </c>
    </row>
    <row r="31" spans="1:17">
      <c r="A31" s="1294" t="s">
        <v>48</v>
      </c>
      <c r="B31" s="1295" t="s">
        <v>49</v>
      </c>
      <c r="C31" s="1296">
        <v>18</v>
      </c>
      <c r="D31" s="1296"/>
      <c r="E31" s="1296">
        <v>18</v>
      </c>
      <c r="F31" s="1297">
        <f t="shared" si="0"/>
        <v>1</v>
      </c>
      <c r="H31" s="1263" t="s">
        <v>48</v>
      </c>
    </row>
    <row r="32" spans="1:17">
      <c r="A32" s="1294" t="s">
        <v>50</v>
      </c>
      <c r="B32" s="1295" t="s">
        <v>51</v>
      </c>
      <c r="C32" s="1296">
        <v>6</v>
      </c>
      <c r="D32" s="1296"/>
      <c r="E32" s="1296">
        <v>6</v>
      </c>
      <c r="F32" s="1297">
        <f t="shared" si="0"/>
        <v>1</v>
      </c>
      <c r="H32" s="1263" t="s">
        <v>50</v>
      </c>
    </row>
    <row r="33" spans="1:13">
      <c r="A33" s="1294" t="s">
        <v>52</v>
      </c>
      <c r="B33" s="1295" t="s">
        <v>53</v>
      </c>
      <c r="C33" s="1296">
        <v>16</v>
      </c>
      <c r="D33" s="1296"/>
      <c r="E33" s="1296">
        <v>16</v>
      </c>
      <c r="F33" s="1297">
        <f t="shared" si="0"/>
        <v>1</v>
      </c>
      <c r="H33" s="1263" t="s">
        <v>52</v>
      </c>
    </row>
    <row r="34" spans="1:13">
      <c r="A34" s="1294" t="s">
        <v>54</v>
      </c>
      <c r="B34" s="1295" t="s">
        <v>55</v>
      </c>
      <c r="C34" s="1296">
        <v>44</v>
      </c>
      <c r="D34" s="1296">
        <v>1</v>
      </c>
      <c r="E34" s="1296">
        <v>43</v>
      </c>
      <c r="F34" s="1297">
        <f t="shared" si="0"/>
        <v>0.97727272727272729</v>
      </c>
      <c r="H34" s="1263" t="s">
        <v>54</v>
      </c>
    </row>
    <row r="35" spans="1:13">
      <c r="A35" s="1294" t="s">
        <v>56</v>
      </c>
      <c r="B35" s="1295" t="s">
        <v>57</v>
      </c>
      <c r="C35" s="1296">
        <v>84</v>
      </c>
      <c r="D35" s="1296">
        <v>4</v>
      </c>
      <c r="E35" s="1296">
        <v>80</v>
      </c>
      <c r="F35" s="1297">
        <f t="shared" si="0"/>
        <v>0.95238095238095233</v>
      </c>
      <c r="H35" s="1263" t="s">
        <v>56</v>
      </c>
    </row>
    <row r="36" spans="1:13">
      <c r="A36" s="1294" t="s">
        <v>58</v>
      </c>
      <c r="B36" s="1295" t="s">
        <v>59</v>
      </c>
      <c r="C36" s="1296">
        <v>22</v>
      </c>
      <c r="D36" s="1296"/>
      <c r="E36" s="1296">
        <v>22</v>
      </c>
      <c r="F36" s="1297">
        <f t="shared" si="0"/>
        <v>1</v>
      </c>
      <c r="H36" s="1263" t="s">
        <v>58</v>
      </c>
    </row>
    <row r="37" spans="1:13">
      <c r="A37" s="1294" t="s">
        <v>60</v>
      </c>
      <c r="B37" s="1295" t="s">
        <v>61</v>
      </c>
      <c r="C37" s="1296">
        <v>5</v>
      </c>
      <c r="D37" s="1296"/>
      <c r="E37" s="1296">
        <v>5</v>
      </c>
      <c r="F37" s="1297">
        <f t="shared" si="0"/>
        <v>1</v>
      </c>
      <c r="H37" s="1263" t="s">
        <v>60</v>
      </c>
    </row>
    <row r="38" spans="1:13">
      <c r="A38" s="1294" t="s">
        <v>62</v>
      </c>
      <c r="B38" s="1295" t="s">
        <v>63</v>
      </c>
      <c r="C38" s="1296">
        <v>10</v>
      </c>
      <c r="D38" s="1296"/>
      <c r="E38" s="1296">
        <v>10</v>
      </c>
      <c r="F38" s="1297">
        <f t="shared" si="0"/>
        <v>1</v>
      </c>
      <c r="H38" s="1263" t="s">
        <v>62</v>
      </c>
    </row>
    <row r="39" spans="1:13">
      <c r="A39" s="1294" t="s">
        <v>64</v>
      </c>
      <c r="B39" s="1295" t="s">
        <v>65</v>
      </c>
      <c r="C39" s="1296">
        <v>9</v>
      </c>
      <c r="D39" s="1296"/>
      <c r="E39" s="1296">
        <v>9</v>
      </c>
      <c r="F39" s="1297">
        <f t="shared" si="0"/>
        <v>1</v>
      </c>
      <c r="H39" s="1263" t="s">
        <v>64</v>
      </c>
    </row>
    <row r="40" spans="1:13">
      <c r="A40" s="1294" t="s">
        <v>66</v>
      </c>
      <c r="B40" s="1295" t="s">
        <v>67</v>
      </c>
      <c r="C40" s="1296">
        <v>8</v>
      </c>
      <c r="D40" s="1296"/>
      <c r="E40" s="1296">
        <v>8</v>
      </c>
      <c r="F40" s="1297">
        <f t="shared" si="0"/>
        <v>1</v>
      </c>
      <c r="H40" s="1263" t="s">
        <v>66</v>
      </c>
    </row>
    <row r="41" spans="1:13">
      <c r="A41" s="1294" t="s">
        <v>68</v>
      </c>
      <c r="B41" s="1295" t="s">
        <v>69</v>
      </c>
      <c r="C41" s="1296">
        <v>13</v>
      </c>
      <c r="D41" s="1296"/>
      <c r="E41" s="1296">
        <v>13</v>
      </c>
      <c r="F41" s="1297">
        <f t="shared" si="0"/>
        <v>1</v>
      </c>
      <c r="H41" s="1263" t="s">
        <v>68</v>
      </c>
      <c r="M41" s="1765">
        <f>1157/1169</f>
        <v>0.98973481608212144</v>
      </c>
    </row>
    <row r="42" spans="1:13">
      <c r="A42" s="1294" t="s">
        <v>70</v>
      </c>
      <c r="B42" s="1295" t="s">
        <v>71</v>
      </c>
      <c r="C42" s="1296">
        <v>2</v>
      </c>
      <c r="D42" s="1296"/>
      <c r="E42" s="1296">
        <v>2</v>
      </c>
      <c r="F42" s="1297">
        <f t="shared" si="0"/>
        <v>1</v>
      </c>
      <c r="H42" s="1263" t="s">
        <v>70</v>
      </c>
    </row>
    <row r="43" spans="1:13">
      <c r="A43" s="1294" t="s">
        <v>72</v>
      </c>
      <c r="B43" s="1295" t="s">
        <v>73</v>
      </c>
      <c r="C43" s="1296">
        <v>10</v>
      </c>
      <c r="D43" s="1296"/>
      <c r="E43" s="1296">
        <v>10</v>
      </c>
      <c r="F43" s="1297">
        <f t="shared" si="0"/>
        <v>1</v>
      </c>
      <c r="H43" s="1263" t="s">
        <v>72</v>
      </c>
    </row>
    <row r="44" spans="1:13">
      <c r="A44" s="1294" t="s">
        <v>74</v>
      </c>
      <c r="B44" s="1299" t="s">
        <v>75</v>
      </c>
      <c r="C44" s="1296">
        <v>8</v>
      </c>
      <c r="D44" s="1296"/>
      <c r="E44" s="1296">
        <v>8</v>
      </c>
      <c r="F44" s="1297">
        <f t="shared" si="0"/>
        <v>1</v>
      </c>
      <c r="H44" s="1263" t="s">
        <v>74</v>
      </c>
    </row>
    <row r="45" spans="1:13">
      <c r="A45" s="1294" t="s">
        <v>76</v>
      </c>
      <c r="B45" s="1300" t="s">
        <v>77</v>
      </c>
      <c r="C45" s="1296">
        <v>2</v>
      </c>
      <c r="D45" s="1296">
        <v>1</v>
      </c>
      <c r="E45" s="1296">
        <v>1</v>
      </c>
      <c r="F45" s="1297">
        <f t="shared" si="0"/>
        <v>0.5</v>
      </c>
      <c r="H45" s="1263" t="s">
        <v>76</v>
      </c>
    </row>
    <row r="46" spans="1:13">
      <c r="A46" s="1294" t="s">
        <v>78</v>
      </c>
      <c r="B46" s="1295" t="s">
        <v>79</v>
      </c>
      <c r="C46" s="1296">
        <v>57</v>
      </c>
      <c r="D46" s="1296">
        <v>4</v>
      </c>
      <c r="E46" s="1296">
        <v>53</v>
      </c>
      <c r="F46" s="1297">
        <f t="shared" si="0"/>
        <v>0.92982456140350878</v>
      </c>
      <c r="H46" s="1263" t="s">
        <v>78</v>
      </c>
    </row>
    <row r="47" spans="1:13">
      <c r="A47" s="1294" t="s">
        <v>80</v>
      </c>
      <c r="B47" s="1295" t="s">
        <v>81</v>
      </c>
      <c r="C47" s="1296">
        <v>29</v>
      </c>
      <c r="D47" s="1296" t="s">
        <v>530</v>
      </c>
      <c r="E47" s="1296">
        <v>29</v>
      </c>
      <c r="F47" s="1297">
        <f t="shared" si="0"/>
        <v>1</v>
      </c>
      <c r="H47" s="1263" t="s">
        <v>80</v>
      </c>
    </row>
    <row r="48" spans="1:13">
      <c r="A48" s="1294" t="s">
        <v>82</v>
      </c>
      <c r="B48" s="1295" t="s">
        <v>83</v>
      </c>
      <c r="C48" s="1296">
        <v>21</v>
      </c>
      <c r="D48" s="1296">
        <v>1</v>
      </c>
      <c r="E48" s="1296">
        <v>20</v>
      </c>
      <c r="F48" s="1297">
        <f t="shared" si="0"/>
        <v>0.95238095238095233</v>
      </c>
      <c r="H48" s="1263" t="s">
        <v>82</v>
      </c>
    </row>
    <row r="49" spans="1:8">
      <c r="A49" s="1294" t="s">
        <v>84</v>
      </c>
      <c r="B49" s="1295" t="s">
        <v>516</v>
      </c>
      <c r="C49" s="1296">
        <v>18</v>
      </c>
      <c r="D49" s="1296"/>
      <c r="E49" s="1296">
        <v>18</v>
      </c>
      <c r="F49" s="1297">
        <f t="shared" si="0"/>
        <v>1</v>
      </c>
      <c r="H49" s="1263" t="s">
        <v>84</v>
      </c>
    </row>
    <row r="50" spans="1:8">
      <c r="A50" s="1294" t="s">
        <v>85</v>
      </c>
      <c r="B50" s="1295" t="s">
        <v>86</v>
      </c>
      <c r="C50" s="1296">
        <v>20</v>
      </c>
      <c r="D50" s="1296">
        <v>1</v>
      </c>
      <c r="E50" s="1296">
        <v>19</v>
      </c>
      <c r="F50" s="1297">
        <f t="shared" si="0"/>
        <v>0.95</v>
      </c>
      <c r="H50" s="1263" t="s">
        <v>85</v>
      </c>
    </row>
    <row r="51" spans="1:8">
      <c r="A51" s="1294" t="s">
        <v>87</v>
      </c>
      <c r="B51" s="1295" t="s">
        <v>88</v>
      </c>
      <c r="C51" s="1296">
        <v>16</v>
      </c>
      <c r="D51" s="1296"/>
      <c r="E51" s="1296">
        <v>16</v>
      </c>
      <c r="F51" s="1297">
        <f t="shared" si="0"/>
        <v>1</v>
      </c>
      <c r="H51" s="1263" t="s">
        <v>87</v>
      </c>
    </row>
    <row r="52" spans="1:8">
      <c r="A52" s="1294" t="s">
        <v>89</v>
      </c>
      <c r="B52" s="1295" t="s">
        <v>90</v>
      </c>
      <c r="C52" s="1296">
        <v>16</v>
      </c>
      <c r="D52" s="1296"/>
      <c r="E52" s="1296">
        <v>16</v>
      </c>
      <c r="F52" s="1297">
        <f t="shared" si="0"/>
        <v>1</v>
      </c>
      <c r="H52" s="1263" t="s">
        <v>89</v>
      </c>
    </row>
    <row r="53" spans="1:8">
      <c r="A53" s="1294" t="s">
        <v>91</v>
      </c>
      <c r="B53" s="1295" t="s">
        <v>92</v>
      </c>
      <c r="C53" s="1296">
        <v>17</v>
      </c>
      <c r="D53" s="1296"/>
      <c r="E53" s="1296">
        <v>17</v>
      </c>
      <c r="F53" s="1297">
        <f t="shared" si="0"/>
        <v>1</v>
      </c>
      <c r="H53" s="1263" t="s">
        <v>91</v>
      </c>
    </row>
    <row r="54" spans="1:8">
      <c r="A54" s="1294" t="s">
        <v>93</v>
      </c>
      <c r="B54" s="1295" t="s">
        <v>94</v>
      </c>
      <c r="C54" s="1296">
        <v>7</v>
      </c>
      <c r="D54" s="1296"/>
      <c r="E54" s="1296">
        <v>7</v>
      </c>
      <c r="F54" s="1297">
        <f t="shared" si="0"/>
        <v>1</v>
      </c>
      <c r="H54" s="1263" t="s">
        <v>93</v>
      </c>
    </row>
    <row r="55" spans="1:8">
      <c r="A55" s="1294" t="s">
        <v>95</v>
      </c>
      <c r="B55" s="1295" t="s">
        <v>96</v>
      </c>
      <c r="C55" s="1296">
        <v>4</v>
      </c>
      <c r="D55" s="1296"/>
      <c r="E55" s="1296">
        <v>4</v>
      </c>
      <c r="F55" s="1297">
        <f t="shared" si="0"/>
        <v>1</v>
      </c>
      <c r="H55" s="1263" t="s">
        <v>95</v>
      </c>
    </row>
    <row r="56" spans="1:8">
      <c r="A56" s="1294" t="s">
        <v>97</v>
      </c>
      <c r="B56" s="1295" t="s">
        <v>98</v>
      </c>
      <c r="C56" s="1296">
        <v>37</v>
      </c>
      <c r="D56" s="1296">
        <v>1</v>
      </c>
      <c r="E56" s="1296">
        <v>36</v>
      </c>
      <c r="F56" s="1297">
        <f t="shared" si="0"/>
        <v>0.97297297297297303</v>
      </c>
      <c r="H56" s="1263" t="s">
        <v>97</v>
      </c>
    </row>
    <row r="57" spans="1:8">
      <c r="A57" s="1294" t="s">
        <v>99</v>
      </c>
      <c r="B57" s="1295" t="s">
        <v>100</v>
      </c>
      <c r="C57" s="1296">
        <v>30</v>
      </c>
      <c r="D57" s="1296">
        <v>2</v>
      </c>
      <c r="E57" s="1296">
        <v>28</v>
      </c>
      <c r="F57" s="1297">
        <f t="shared" si="0"/>
        <v>0.93333333333333335</v>
      </c>
      <c r="H57" s="1263" t="s">
        <v>99</v>
      </c>
    </row>
    <row r="58" spans="1:8">
      <c r="A58" s="1301" t="s">
        <v>142</v>
      </c>
      <c r="B58" s="1295" t="s">
        <v>117</v>
      </c>
      <c r="C58" s="1296">
        <v>1</v>
      </c>
      <c r="D58" s="1296"/>
      <c r="E58" s="1296">
        <v>1</v>
      </c>
      <c r="F58" s="1297">
        <f t="shared" si="0"/>
        <v>1</v>
      </c>
      <c r="H58" s="1263" t="s">
        <v>142</v>
      </c>
    </row>
    <row r="59" spans="1:8">
      <c r="A59" s="1294" t="s">
        <v>101</v>
      </c>
      <c r="B59" s="1295" t="s">
        <v>102</v>
      </c>
      <c r="C59" s="1296">
        <v>1</v>
      </c>
      <c r="D59" s="1296"/>
      <c r="E59" s="1296">
        <v>1</v>
      </c>
      <c r="F59" s="1297">
        <f t="shared" si="0"/>
        <v>1</v>
      </c>
      <c r="H59" s="1263" t="s">
        <v>101</v>
      </c>
    </row>
    <row r="60" spans="1:8">
      <c r="A60" s="1294" t="s">
        <v>103</v>
      </c>
      <c r="B60" s="1295" t="s">
        <v>104</v>
      </c>
      <c r="C60" s="1296">
        <v>28</v>
      </c>
      <c r="D60" s="1296"/>
      <c r="E60" s="1296">
        <v>28</v>
      </c>
      <c r="F60" s="1297">
        <f t="shared" si="0"/>
        <v>1</v>
      </c>
      <c r="H60" s="1263" t="s">
        <v>103</v>
      </c>
    </row>
    <row r="61" spans="1:8">
      <c r="A61" s="1301" t="s">
        <v>578</v>
      </c>
      <c r="B61" s="1295" t="s">
        <v>200</v>
      </c>
      <c r="C61" s="1296">
        <v>2</v>
      </c>
      <c r="D61" s="1296"/>
      <c r="E61" s="1296">
        <v>2</v>
      </c>
      <c r="F61" s="1297">
        <f t="shared" si="0"/>
        <v>1</v>
      </c>
      <c r="H61" s="1263" t="s">
        <v>578</v>
      </c>
    </row>
    <row r="62" spans="1:8">
      <c r="A62" s="1302" t="s">
        <v>517</v>
      </c>
      <c r="B62" s="1303" t="s">
        <v>518</v>
      </c>
      <c r="C62" s="1296">
        <v>8</v>
      </c>
      <c r="D62" s="1296"/>
      <c r="E62" s="1296">
        <v>8</v>
      </c>
      <c r="F62" s="1297">
        <f t="shared" si="0"/>
        <v>1</v>
      </c>
      <c r="H62" s="1263" t="s">
        <v>517</v>
      </c>
    </row>
    <row r="63" spans="1:8">
      <c r="A63" s="1304" t="s">
        <v>519</v>
      </c>
      <c r="B63" s="1305" t="s">
        <v>520</v>
      </c>
      <c r="C63" s="1296">
        <v>21</v>
      </c>
      <c r="D63" s="1296">
        <v>1</v>
      </c>
      <c r="E63" s="1296">
        <v>20</v>
      </c>
      <c r="F63" s="1297">
        <f t="shared" si="0"/>
        <v>0.95238095238095233</v>
      </c>
      <c r="H63" s="1263" t="s">
        <v>519</v>
      </c>
    </row>
    <row r="64" spans="1:8">
      <c r="A64" s="1306" t="s">
        <v>521</v>
      </c>
      <c r="B64" s="1307" t="s">
        <v>522</v>
      </c>
      <c r="C64" s="1308">
        <v>9</v>
      </c>
      <c r="D64" s="1308">
        <v>1</v>
      </c>
      <c r="E64" s="1308">
        <v>8</v>
      </c>
      <c r="F64" s="1297">
        <f t="shared" si="0"/>
        <v>0.88888888888888884</v>
      </c>
      <c r="H64" s="1263" t="s">
        <v>521</v>
      </c>
    </row>
    <row r="65" spans="1:6" ht="13.8" thickBot="1">
      <c r="A65" s="1309"/>
      <c r="B65" s="1310" t="s">
        <v>105</v>
      </c>
      <c r="C65" s="1311">
        <f>SUM(C9:C64)</f>
        <v>1157</v>
      </c>
      <c r="D65" s="1312">
        <f>SUM(D9:D64)</f>
        <v>40</v>
      </c>
      <c r="E65" s="1312">
        <f>SUM(E9:E64)</f>
        <v>1117</v>
      </c>
      <c r="F65" s="1313">
        <f>E65/C65</f>
        <v>0.96542783059636994</v>
      </c>
    </row>
    <row r="66" spans="1:6" ht="14.4" thickBot="1">
      <c r="A66" s="1314" t="s">
        <v>936</v>
      </c>
      <c r="B66" s="1315"/>
      <c r="C66" s="1316"/>
      <c r="D66" s="1317">
        <f>D65/C65</f>
        <v>3.4572169403630081E-2</v>
      </c>
      <c r="E66" s="1318">
        <f>E65/C65</f>
        <v>0.96542783059636994</v>
      </c>
      <c r="F66" s="1319"/>
    </row>
    <row r="67" spans="1:6">
      <c r="A67" s="1320" t="s">
        <v>581</v>
      </c>
      <c r="B67" s="1321"/>
      <c r="C67" s="1321"/>
      <c r="D67" s="1321"/>
      <c r="E67" s="1321"/>
      <c r="F67" s="1322"/>
    </row>
  </sheetData>
  <mergeCells count="1">
    <mergeCell ref="E1:F1"/>
  </mergeCells>
  <printOptions horizontalCentered="1"/>
  <pageMargins left="0.19685039370078741" right="0.19685039370078741" top="0.78740157480314965" bottom="0.19685039370078741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66"/>
    <pageSetUpPr fitToPage="1"/>
  </sheetPr>
  <dimension ref="A1:J29"/>
  <sheetViews>
    <sheetView workbookViewId="0">
      <selection activeCell="L18" sqref="L18"/>
    </sheetView>
  </sheetViews>
  <sheetFormatPr baseColWidth="10" defaultRowHeight="13.2"/>
  <cols>
    <col min="1" max="1" width="13.44140625" style="1263" customWidth="1"/>
    <col min="2" max="2" width="89.5546875" style="1263" bestFit="1" customWidth="1"/>
    <col min="3" max="3" width="10" style="1263" bestFit="1" customWidth="1"/>
    <col min="4" max="4" width="15.33203125" style="1263" customWidth="1"/>
    <col min="5" max="5" width="19.5546875" style="1263" customWidth="1"/>
    <col min="6" max="6" width="8.5546875" style="1263" bestFit="1" customWidth="1"/>
    <col min="7" max="256" width="11.44140625" style="1263"/>
    <col min="257" max="257" width="13.44140625" style="1263" customWidth="1"/>
    <col min="258" max="258" width="89.5546875" style="1263" bestFit="1" customWidth="1"/>
    <col min="259" max="259" width="10" style="1263" bestFit="1" customWidth="1"/>
    <col min="260" max="260" width="15.33203125" style="1263" customWidth="1"/>
    <col min="261" max="261" width="19.5546875" style="1263" customWidth="1"/>
    <col min="262" max="262" width="8.5546875" style="1263" bestFit="1" customWidth="1"/>
    <col min="263" max="512" width="11.44140625" style="1263"/>
    <col min="513" max="513" width="13.44140625" style="1263" customWidth="1"/>
    <col min="514" max="514" width="89.5546875" style="1263" bestFit="1" customWidth="1"/>
    <col min="515" max="515" width="10" style="1263" bestFit="1" customWidth="1"/>
    <col min="516" max="516" width="15.33203125" style="1263" customWidth="1"/>
    <col min="517" max="517" width="19.5546875" style="1263" customWidth="1"/>
    <col min="518" max="518" width="8.5546875" style="1263" bestFit="1" customWidth="1"/>
    <col min="519" max="768" width="11.44140625" style="1263"/>
    <col min="769" max="769" width="13.44140625" style="1263" customWidth="1"/>
    <col min="770" max="770" width="89.5546875" style="1263" bestFit="1" customWidth="1"/>
    <col min="771" max="771" width="10" style="1263" bestFit="1" customWidth="1"/>
    <col min="772" max="772" width="15.33203125" style="1263" customWidth="1"/>
    <col min="773" max="773" width="19.5546875" style="1263" customWidth="1"/>
    <col min="774" max="774" width="8.5546875" style="1263" bestFit="1" customWidth="1"/>
    <col min="775" max="1024" width="11.44140625" style="1263"/>
    <col min="1025" max="1025" width="13.44140625" style="1263" customWidth="1"/>
    <col min="1026" max="1026" width="89.5546875" style="1263" bestFit="1" customWidth="1"/>
    <col min="1027" max="1027" width="10" style="1263" bestFit="1" customWidth="1"/>
    <col min="1028" max="1028" width="15.33203125" style="1263" customWidth="1"/>
    <col min="1029" max="1029" width="19.5546875" style="1263" customWidth="1"/>
    <col min="1030" max="1030" width="8.5546875" style="1263" bestFit="1" customWidth="1"/>
    <col min="1031" max="1280" width="11.44140625" style="1263"/>
    <col min="1281" max="1281" width="13.44140625" style="1263" customWidth="1"/>
    <col min="1282" max="1282" width="89.5546875" style="1263" bestFit="1" customWidth="1"/>
    <col min="1283" max="1283" width="10" style="1263" bestFit="1" customWidth="1"/>
    <col min="1284" max="1284" width="15.33203125" style="1263" customWidth="1"/>
    <col min="1285" max="1285" width="19.5546875" style="1263" customWidth="1"/>
    <col min="1286" max="1286" width="8.5546875" style="1263" bestFit="1" customWidth="1"/>
    <col min="1287" max="1536" width="11.44140625" style="1263"/>
    <col min="1537" max="1537" width="13.44140625" style="1263" customWidth="1"/>
    <col min="1538" max="1538" width="89.5546875" style="1263" bestFit="1" customWidth="1"/>
    <col min="1539" max="1539" width="10" style="1263" bestFit="1" customWidth="1"/>
    <col min="1540" max="1540" width="15.33203125" style="1263" customWidth="1"/>
    <col min="1541" max="1541" width="19.5546875" style="1263" customWidth="1"/>
    <col min="1542" max="1542" width="8.5546875" style="1263" bestFit="1" customWidth="1"/>
    <col min="1543" max="1792" width="11.44140625" style="1263"/>
    <col min="1793" max="1793" width="13.44140625" style="1263" customWidth="1"/>
    <col min="1794" max="1794" width="89.5546875" style="1263" bestFit="1" customWidth="1"/>
    <col min="1795" max="1795" width="10" style="1263" bestFit="1" customWidth="1"/>
    <col min="1796" max="1796" width="15.33203125" style="1263" customWidth="1"/>
    <col min="1797" max="1797" width="19.5546875" style="1263" customWidth="1"/>
    <col min="1798" max="1798" width="8.5546875" style="1263" bestFit="1" customWidth="1"/>
    <col min="1799" max="2048" width="11.44140625" style="1263"/>
    <col min="2049" max="2049" width="13.44140625" style="1263" customWidth="1"/>
    <col min="2050" max="2050" width="89.5546875" style="1263" bestFit="1" customWidth="1"/>
    <col min="2051" max="2051" width="10" style="1263" bestFit="1" customWidth="1"/>
    <col min="2052" max="2052" width="15.33203125" style="1263" customWidth="1"/>
    <col min="2053" max="2053" width="19.5546875" style="1263" customWidth="1"/>
    <col min="2054" max="2054" width="8.5546875" style="1263" bestFit="1" customWidth="1"/>
    <col min="2055" max="2304" width="11.44140625" style="1263"/>
    <col min="2305" max="2305" width="13.44140625" style="1263" customWidth="1"/>
    <col min="2306" max="2306" width="89.5546875" style="1263" bestFit="1" customWidth="1"/>
    <col min="2307" max="2307" width="10" style="1263" bestFit="1" customWidth="1"/>
    <col min="2308" max="2308" width="15.33203125" style="1263" customWidth="1"/>
    <col min="2309" max="2309" width="19.5546875" style="1263" customWidth="1"/>
    <col min="2310" max="2310" width="8.5546875" style="1263" bestFit="1" customWidth="1"/>
    <col min="2311" max="2560" width="11.44140625" style="1263"/>
    <col min="2561" max="2561" width="13.44140625" style="1263" customWidth="1"/>
    <col min="2562" max="2562" width="89.5546875" style="1263" bestFit="1" customWidth="1"/>
    <col min="2563" max="2563" width="10" style="1263" bestFit="1" customWidth="1"/>
    <col min="2564" max="2564" width="15.33203125" style="1263" customWidth="1"/>
    <col min="2565" max="2565" width="19.5546875" style="1263" customWidth="1"/>
    <col min="2566" max="2566" width="8.5546875" style="1263" bestFit="1" customWidth="1"/>
    <col min="2567" max="2816" width="11.44140625" style="1263"/>
    <col min="2817" max="2817" width="13.44140625" style="1263" customWidth="1"/>
    <col min="2818" max="2818" width="89.5546875" style="1263" bestFit="1" customWidth="1"/>
    <col min="2819" max="2819" width="10" style="1263" bestFit="1" customWidth="1"/>
    <col min="2820" max="2820" width="15.33203125" style="1263" customWidth="1"/>
    <col min="2821" max="2821" width="19.5546875" style="1263" customWidth="1"/>
    <col min="2822" max="2822" width="8.5546875" style="1263" bestFit="1" customWidth="1"/>
    <col min="2823" max="3072" width="11.44140625" style="1263"/>
    <col min="3073" max="3073" width="13.44140625" style="1263" customWidth="1"/>
    <col min="3074" max="3074" width="89.5546875" style="1263" bestFit="1" customWidth="1"/>
    <col min="3075" max="3075" width="10" style="1263" bestFit="1" customWidth="1"/>
    <col min="3076" max="3076" width="15.33203125" style="1263" customWidth="1"/>
    <col min="3077" max="3077" width="19.5546875" style="1263" customWidth="1"/>
    <col min="3078" max="3078" width="8.5546875" style="1263" bestFit="1" customWidth="1"/>
    <col min="3079" max="3328" width="11.44140625" style="1263"/>
    <col min="3329" max="3329" width="13.44140625" style="1263" customWidth="1"/>
    <col min="3330" max="3330" width="89.5546875" style="1263" bestFit="1" customWidth="1"/>
    <col min="3331" max="3331" width="10" style="1263" bestFit="1" customWidth="1"/>
    <col min="3332" max="3332" width="15.33203125" style="1263" customWidth="1"/>
    <col min="3333" max="3333" width="19.5546875" style="1263" customWidth="1"/>
    <col min="3334" max="3334" width="8.5546875" style="1263" bestFit="1" customWidth="1"/>
    <col min="3335" max="3584" width="11.44140625" style="1263"/>
    <col min="3585" max="3585" width="13.44140625" style="1263" customWidth="1"/>
    <col min="3586" max="3586" width="89.5546875" style="1263" bestFit="1" customWidth="1"/>
    <col min="3587" max="3587" width="10" style="1263" bestFit="1" customWidth="1"/>
    <col min="3588" max="3588" width="15.33203125" style="1263" customWidth="1"/>
    <col min="3589" max="3589" width="19.5546875" style="1263" customWidth="1"/>
    <col min="3590" max="3590" width="8.5546875" style="1263" bestFit="1" customWidth="1"/>
    <col min="3591" max="3840" width="11.44140625" style="1263"/>
    <col min="3841" max="3841" width="13.44140625" style="1263" customWidth="1"/>
    <col min="3842" max="3842" width="89.5546875" style="1263" bestFit="1" customWidth="1"/>
    <col min="3843" max="3843" width="10" style="1263" bestFit="1" customWidth="1"/>
    <col min="3844" max="3844" width="15.33203125" style="1263" customWidth="1"/>
    <col min="3845" max="3845" width="19.5546875" style="1263" customWidth="1"/>
    <col min="3846" max="3846" width="8.5546875" style="1263" bestFit="1" customWidth="1"/>
    <col min="3847" max="4096" width="11.44140625" style="1263"/>
    <col min="4097" max="4097" width="13.44140625" style="1263" customWidth="1"/>
    <col min="4098" max="4098" width="89.5546875" style="1263" bestFit="1" customWidth="1"/>
    <col min="4099" max="4099" width="10" style="1263" bestFit="1" customWidth="1"/>
    <col min="4100" max="4100" width="15.33203125" style="1263" customWidth="1"/>
    <col min="4101" max="4101" width="19.5546875" style="1263" customWidth="1"/>
    <col min="4102" max="4102" width="8.5546875" style="1263" bestFit="1" customWidth="1"/>
    <col min="4103" max="4352" width="11.44140625" style="1263"/>
    <col min="4353" max="4353" width="13.44140625" style="1263" customWidth="1"/>
    <col min="4354" max="4354" width="89.5546875" style="1263" bestFit="1" customWidth="1"/>
    <col min="4355" max="4355" width="10" style="1263" bestFit="1" customWidth="1"/>
    <col min="4356" max="4356" width="15.33203125" style="1263" customWidth="1"/>
    <col min="4357" max="4357" width="19.5546875" style="1263" customWidth="1"/>
    <col min="4358" max="4358" width="8.5546875" style="1263" bestFit="1" customWidth="1"/>
    <col min="4359" max="4608" width="11.44140625" style="1263"/>
    <col min="4609" max="4609" width="13.44140625" style="1263" customWidth="1"/>
    <col min="4610" max="4610" width="89.5546875" style="1263" bestFit="1" customWidth="1"/>
    <col min="4611" max="4611" width="10" style="1263" bestFit="1" customWidth="1"/>
    <col min="4612" max="4612" width="15.33203125" style="1263" customWidth="1"/>
    <col min="4613" max="4613" width="19.5546875" style="1263" customWidth="1"/>
    <col min="4614" max="4614" width="8.5546875" style="1263" bestFit="1" customWidth="1"/>
    <col min="4615" max="4864" width="11.44140625" style="1263"/>
    <col min="4865" max="4865" width="13.44140625" style="1263" customWidth="1"/>
    <col min="4866" max="4866" width="89.5546875" style="1263" bestFit="1" customWidth="1"/>
    <col min="4867" max="4867" width="10" style="1263" bestFit="1" customWidth="1"/>
    <col min="4868" max="4868" width="15.33203125" style="1263" customWidth="1"/>
    <col min="4869" max="4869" width="19.5546875" style="1263" customWidth="1"/>
    <col min="4870" max="4870" width="8.5546875" style="1263" bestFit="1" customWidth="1"/>
    <col min="4871" max="5120" width="11.44140625" style="1263"/>
    <col min="5121" max="5121" width="13.44140625" style="1263" customWidth="1"/>
    <col min="5122" max="5122" width="89.5546875" style="1263" bestFit="1" customWidth="1"/>
    <col min="5123" max="5123" width="10" style="1263" bestFit="1" customWidth="1"/>
    <col min="5124" max="5124" width="15.33203125" style="1263" customWidth="1"/>
    <col min="5125" max="5125" width="19.5546875" style="1263" customWidth="1"/>
    <col min="5126" max="5126" width="8.5546875" style="1263" bestFit="1" customWidth="1"/>
    <col min="5127" max="5376" width="11.44140625" style="1263"/>
    <col min="5377" max="5377" width="13.44140625" style="1263" customWidth="1"/>
    <col min="5378" max="5378" width="89.5546875" style="1263" bestFit="1" customWidth="1"/>
    <col min="5379" max="5379" width="10" style="1263" bestFit="1" customWidth="1"/>
    <col min="5380" max="5380" width="15.33203125" style="1263" customWidth="1"/>
    <col min="5381" max="5381" width="19.5546875" style="1263" customWidth="1"/>
    <col min="5382" max="5382" width="8.5546875" style="1263" bestFit="1" customWidth="1"/>
    <col min="5383" max="5632" width="11.44140625" style="1263"/>
    <col min="5633" max="5633" width="13.44140625" style="1263" customWidth="1"/>
    <col min="5634" max="5634" width="89.5546875" style="1263" bestFit="1" customWidth="1"/>
    <col min="5635" max="5635" width="10" style="1263" bestFit="1" customWidth="1"/>
    <col min="5636" max="5636" width="15.33203125" style="1263" customWidth="1"/>
    <col min="5637" max="5637" width="19.5546875" style="1263" customWidth="1"/>
    <col min="5638" max="5638" width="8.5546875" style="1263" bestFit="1" customWidth="1"/>
    <col min="5639" max="5888" width="11.44140625" style="1263"/>
    <col min="5889" max="5889" width="13.44140625" style="1263" customWidth="1"/>
    <col min="5890" max="5890" width="89.5546875" style="1263" bestFit="1" customWidth="1"/>
    <col min="5891" max="5891" width="10" style="1263" bestFit="1" customWidth="1"/>
    <col min="5892" max="5892" width="15.33203125" style="1263" customWidth="1"/>
    <col min="5893" max="5893" width="19.5546875" style="1263" customWidth="1"/>
    <col min="5894" max="5894" width="8.5546875" style="1263" bestFit="1" customWidth="1"/>
    <col min="5895" max="6144" width="11.44140625" style="1263"/>
    <col min="6145" max="6145" width="13.44140625" style="1263" customWidth="1"/>
    <col min="6146" max="6146" width="89.5546875" style="1263" bestFit="1" customWidth="1"/>
    <col min="6147" max="6147" width="10" style="1263" bestFit="1" customWidth="1"/>
    <col min="6148" max="6148" width="15.33203125" style="1263" customWidth="1"/>
    <col min="6149" max="6149" width="19.5546875" style="1263" customWidth="1"/>
    <col min="6150" max="6150" width="8.5546875" style="1263" bestFit="1" customWidth="1"/>
    <col min="6151" max="6400" width="11.44140625" style="1263"/>
    <col min="6401" max="6401" width="13.44140625" style="1263" customWidth="1"/>
    <col min="6402" max="6402" width="89.5546875" style="1263" bestFit="1" customWidth="1"/>
    <col min="6403" max="6403" width="10" style="1263" bestFit="1" customWidth="1"/>
    <col min="6404" max="6404" width="15.33203125" style="1263" customWidth="1"/>
    <col min="6405" max="6405" width="19.5546875" style="1263" customWidth="1"/>
    <col min="6406" max="6406" width="8.5546875" style="1263" bestFit="1" customWidth="1"/>
    <col min="6407" max="6656" width="11.44140625" style="1263"/>
    <col min="6657" max="6657" width="13.44140625" style="1263" customWidth="1"/>
    <col min="6658" max="6658" width="89.5546875" style="1263" bestFit="1" customWidth="1"/>
    <col min="6659" max="6659" width="10" style="1263" bestFit="1" customWidth="1"/>
    <col min="6660" max="6660" width="15.33203125" style="1263" customWidth="1"/>
    <col min="6661" max="6661" width="19.5546875" style="1263" customWidth="1"/>
    <col min="6662" max="6662" width="8.5546875" style="1263" bestFit="1" customWidth="1"/>
    <col min="6663" max="6912" width="11.44140625" style="1263"/>
    <col min="6913" max="6913" width="13.44140625" style="1263" customWidth="1"/>
    <col min="6914" max="6914" width="89.5546875" style="1263" bestFit="1" customWidth="1"/>
    <col min="6915" max="6915" width="10" style="1263" bestFit="1" customWidth="1"/>
    <col min="6916" max="6916" width="15.33203125" style="1263" customWidth="1"/>
    <col min="6917" max="6917" width="19.5546875" style="1263" customWidth="1"/>
    <col min="6918" max="6918" width="8.5546875" style="1263" bestFit="1" customWidth="1"/>
    <col min="6919" max="7168" width="11.44140625" style="1263"/>
    <col min="7169" max="7169" width="13.44140625" style="1263" customWidth="1"/>
    <col min="7170" max="7170" width="89.5546875" style="1263" bestFit="1" customWidth="1"/>
    <col min="7171" max="7171" width="10" style="1263" bestFit="1" customWidth="1"/>
    <col min="7172" max="7172" width="15.33203125" style="1263" customWidth="1"/>
    <col min="7173" max="7173" width="19.5546875" style="1263" customWidth="1"/>
    <col min="7174" max="7174" width="8.5546875" style="1263" bestFit="1" customWidth="1"/>
    <col min="7175" max="7424" width="11.44140625" style="1263"/>
    <col min="7425" max="7425" width="13.44140625" style="1263" customWidth="1"/>
    <col min="7426" max="7426" width="89.5546875" style="1263" bestFit="1" customWidth="1"/>
    <col min="7427" max="7427" width="10" style="1263" bestFit="1" customWidth="1"/>
    <col min="7428" max="7428" width="15.33203125" style="1263" customWidth="1"/>
    <col min="7429" max="7429" width="19.5546875" style="1263" customWidth="1"/>
    <col min="7430" max="7430" width="8.5546875" style="1263" bestFit="1" customWidth="1"/>
    <col min="7431" max="7680" width="11.44140625" style="1263"/>
    <col min="7681" max="7681" width="13.44140625" style="1263" customWidth="1"/>
    <col min="7682" max="7682" width="89.5546875" style="1263" bestFit="1" customWidth="1"/>
    <col min="7683" max="7683" width="10" style="1263" bestFit="1" customWidth="1"/>
    <col min="7684" max="7684" width="15.33203125" style="1263" customWidth="1"/>
    <col min="7685" max="7685" width="19.5546875" style="1263" customWidth="1"/>
    <col min="7686" max="7686" width="8.5546875" style="1263" bestFit="1" customWidth="1"/>
    <col min="7687" max="7936" width="11.44140625" style="1263"/>
    <col min="7937" max="7937" width="13.44140625" style="1263" customWidth="1"/>
    <col min="7938" max="7938" width="89.5546875" style="1263" bestFit="1" customWidth="1"/>
    <col min="7939" max="7939" width="10" style="1263" bestFit="1" customWidth="1"/>
    <col min="7940" max="7940" width="15.33203125" style="1263" customWidth="1"/>
    <col min="7941" max="7941" width="19.5546875" style="1263" customWidth="1"/>
    <col min="7942" max="7942" width="8.5546875" style="1263" bestFit="1" customWidth="1"/>
    <col min="7943" max="8192" width="11.44140625" style="1263"/>
    <col min="8193" max="8193" width="13.44140625" style="1263" customWidth="1"/>
    <col min="8194" max="8194" width="89.5546875" style="1263" bestFit="1" customWidth="1"/>
    <col min="8195" max="8195" width="10" style="1263" bestFit="1" customWidth="1"/>
    <col min="8196" max="8196" width="15.33203125" style="1263" customWidth="1"/>
    <col min="8197" max="8197" width="19.5546875" style="1263" customWidth="1"/>
    <col min="8198" max="8198" width="8.5546875" style="1263" bestFit="1" customWidth="1"/>
    <col min="8199" max="8448" width="11.44140625" style="1263"/>
    <col min="8449" max="8449" width="13.44140625" style="1263" customWidth="1"/>
    <col min="8450" max="8450" width="89.5546875" style="1263" bestFit="1" customWidth="1"/>
    <col min="8451" max="8451" width="10" style="1263" bestFit="1" customWidth="1"/>
    <col min="8452" max="8452" width="15.33203125" style="1263" customWidth="1"/>
    <col min="8453" max="8453" width="19.5546875" style="1263" customWidth="1"/>
    <col min="8454" max="8454" width="8.5546875" style="1263" bestFit="1" customWidth="1"/>
    <col min="8455" max="8704" width="11.44140625" style="1263"/>
    <col min="8705" max="8705" width="13.44140625" style="1263" customWidth="1"/>
    <col min="8706" max="8706" width="89.5546875" style="1263" bestFit="1" customWidth="1"/>
    <col min="8707" max="8707" width="10" style="1263" bestFit="1" customWidth="1"/>
    <col min="8708" max="8708" width="15.33203125" style="1263" customWidth="1"/>
    <col min="8709" max="8709" width="19.5546875" style="1263" customWidth="1"/>
    <col min="8710" max="8710" width="8.5546875" style="1263" bestFit="1" customWidth="1"/>
    <col min="8711" max="8960" width="11.44140625" style="1263"/>
    <col min="8961" max="8961" width="13.44140625" style="1263" customWidth="1"/>
    <col min="8962" max="8962" width="89.5546875" style="1263" bestFit="1" customWidth="1"/>
    <col min="8963" max="8963" width="10" style="1263" bestFit="1" customWidth="1"/>
    <col min="8964" max="8964" width="15.33203125" style="1263" customWidth="1"/>
    <col min="8965" max="8965" width="19.5546875" style="1263" customWidth="1"/>
    <col min="8966" max="8966" width="8.5546875" style="1263" bestFit="1" customWidth="1"/>
    <col min="8967" max="9216" width="11.44140625" style="1263"/>
    <col min="9217" max="9217" width="13.44140625" style="1263" customWidth="1"/>
    <col min="9218" max="9218" width="89.5546875" style="1263" bestFit="1" customWidth="1"/>
    <col min="9219" max="9219" width="10" style="1263" bestFit="1" customWidth="1"/>
    <col min="9220" max="9220" width="15.33203125" style="1263" customWidth="1"/>
    <col min="9221" max="9221" width="19.5546875" style="1263" customWidth="1"/>
    <col min="9222" max="9222" width="8.5546875" style="1263" bestFit="1" customWidth="1"/>
    <col min="9223" max="9472" width="11.44140625" style="1263"/>
    <col min="9473" max="9473" width="13.44140625" style="1263" customWidth="1"/>
    <col min="9474" max="9474" width="89.5546875" style="1263" bestFit="1" customWidth="1"/>
    <col min="9475" max="9475" width="10" style="1263" bestFit="1" customWidth="1"/>
    <col min="9476" max="9476" width="15.33203125" style="1263" customWidth="1"/>
    <col min="9477" max="9477" width="19.5546875" style="1263" customWidth="1"/>
    <col min="9478" max="9478" width="8.5546875" style="1263" bestFit="1" customWidth="1"/>
    <col min="9479" max="9728" width="11.44140625" style="1263"/>
    <col min="9729" max="9729" width="13.44140625" style="1263" customWidth="1"/>
    <col min="9730" max="9730" width="89.5546875" style="1263" bestFit="1" customWidth="1"/>
    <col min="9731" max="9731" width="10" style="1263" bestFit="1" customWidth="1"/>
    <col min="9732" max="9732" width="15.33203125" style="1263" customWidth="1"/>
    <col min="9733" max="9733" width="19.5546875" style="1263" customWidth="1"/>
    <col min="9734" max="9734" width="8.5546875" style="1263" bestFit="1" customWidth="1"/>
    <col min="9735" max="9984" width="11.44140625" style="1263"/>
    <col min="9985" max="9985" width="13.44140625" style="1263" customWidth="1"/>
    <col min="9986" max="9986" width="89.5546875" style="1263" bestFit="1" customWidth="1"/>
    <col min="9987" max="9987" width="10" style="1263" bestFit="1" customWidth="1"/>
    <col min="9988" max="9988" width="15.33203125" style="1263" customWidth="1"/>
    <col min="9989" max="9989" width="19.5546875" style="1263" customWidth="1"/>
    <col min="9990" max="9990" width="8.5546875" style="1263" bestFit="1" customWidth="1"/>
    <col min="9991" max="10240" width="11.44140625" style="1263"/>
    <col min="10241" max="10241" width="13.44140625" style="1263" customWidth="1"/>
    <col min="10242" max="10242" width="89.5546875" style="1263" bestFit="1" customWidth="1"/>
    <col min="10243" max="10243" width="10" style="1263" bestFit="1" customWidth="1"/>
    <col min="10244" max="10244" width="15.33203125" style="1263" customWidth="1"/>
    <col min="10245" max="10245" width="19.5546875" style="1263" customWidth="1"/>
    <col min="10246" max="10246" width="8.5546875" style="1263" bestFit="1" customWidth="1"/>
    <col min="10247" max="10496" width="11.44140625" style="1263"/>
    <col min="10497" max="10497" width="13.44140625" style="1263" customWidth="1"/>
    <col min="10498" max="10498" width="89.5546875" style="1263" bestFit="1" customWidth="1"/>
    <col min="10499" max="10499" width="10" style="1263" bestFit="1" customWidth="1"/>
    <col min="10500" max="10500" width="15.33203125" style="1263" customWidth="1"/>
    <col min="10501" max="10501" width="19.5546875" style="1263" customWidth="1"/>
    <col min="10502" max="10502" width="8.5546875" style="1263" bestFit="1" customWidth="1"/>
    <col min="10503" max="10752" width="11.44140625" style="1263"/>
    <col min="10753" max="10753" width="13.44140625" style="1263" customWidth="1"/>
    <col min="10754" max="10754" width="89.5546875" style="1263" bestFit="1" customWidth="1"/>
    <col min="10755" max="10755" width="10" style="1263" bestFit="1" customWidth="1"/>
    <col min="10756" max="10756" width="15.33203125" style="1263" customWidth="1"/>
    <col min="10757" max="10757" width="19.5546875" style="1263" customWidth="1"/>
    <col min="10758" max="10758" width="8.5546875" style="1263" bestFit="1" customWidth="1"/>
    <col min="10759" max="11008" width="11.44140625" style="1263"/>
    <col min="11009" max="11009" width="13.44140625" style="1263" customWidth="1"/>
    <col min="11010" max="11010" width="89.5546875" style="1263" bestFit="1" customWidth="1"/>
    <col min="11011" max="11011" width="10" style="1263" bestFit="1" customWidth="1"/>
    <col min="11012" max="11012" width="15.33203125" style="1263" customWidth="1"/>
    <col min="11013" max="11013" width="19.5546875" style="1263" customWidth="1"/>
    <col min="11014" max="11014" width="8.5546875" style="1263" bestFit="1" customWidth="1"/>
    <col min="11015" max="11264" width="11.44140625" style="1263"/>
    <col min="11265" max="11265" width="13.44140625" style="1263" customWidth="1"/>
    <col min="11266" max="11266" width="89.5546875" style="1263" bestFit="1" customWidth="1"/>
    <col min="11267" max="11267" width="10" style="1263" bestFit="1" customWidth="1"/>
    <col min="11268" max="11268" width="15.33203125" style="1263" customWidth="1"/>
    <col min="11269" max="11269" width="19.5546875" style="1263" customWidth="1"/>
    <col min="11270" max="11270" width="8.5546875" style="1263" bestFit="1" customWidth="1"/>
    <col min="11271" max="11520" width="11.44140625" style="1263"/>
    <col min="11521" max="11521" width="13.44140625" style="1263" customWidth="1"/>
    <col min="11522" max="11522" width="89.5546875" style="1263" bestFit="1" customWidth="1"/>
    <col min="11523" max="11523" width="10" style="1263" bestFit="1" customWidth="1"/>
    <col min="11524" max="11524" width="15.33203125" style="1263" customWidth="1"/>
    <col min="11525" max="11525" width="19.5546875" style="1263" customWidth="1"/>
    <col min="11526" max="11526" width="8.5546875" style="1263" bestFit="1" customWidth="1"/>
    <col min="11527" max="11776" width="11.44140625" style="1263"/>
    <col min="11777" max="11777" width="13.44140625" style="1263" customWidth="1"/>
    <col min="11778" max="11778" width="89.5546875" style="1263" bestFit="1" customWidth="1"/>
    <col min="11779" max="11779" width="10" style="1263" bestFit="1" customWidth="1"/>
    <col min="11780" max="11780" width="15.33203125" style="1263" customWidth="1"/>
    <col min="11781" max="11781" width="19.5546875" style="1263" customWidth="1"/>
    <col min="11782" max="11782" width="8.5546875" style="1263" bestFit="1" customWidth="1"/>
    <col min="11783" max="12032" width="11.44140625" style="1263"/>
    <col min="12033" max="12033" width="13.44140625" style="1263" customWidth="1"/>
    <col min="12034" max="12034" width="89.5546875" style="1263" bestFit="1" customWidth="1"/>
    <col min="12035" max="12035" width="10" style="1263" bestFit="1" customWidth="1"/>
    <col min="12036" max="12036" width="15.33203125" style="1263" customWidth="1"/>
    <col min="12037" max="12037" width="19.5546875" style="1263" customWidth="1"/>
    <col min="12038" max="12038" width="8.5546875" style="1263" bestFit="1" customWidth="1"/>
    <col min="12039" max="12288" width="11.44140625" style="1263"/>
    <col min="12289" max="12289" width="13.44140625" style="1263" customWidth="1"/>
    <col min="12290" max="12290" width="89.5546875" style="1263" bestFit="1" customWidth="1"/>
    <col min="12291" max="12291" width="10" style="1263" bestFit="1" customWidth="1"/>
    <col min="12292" max="12292" width="15.33203125" style="1263" customWidth="1"/>
    <col min="12293" max="12293" width="19.5546875" style="1263" customWidth="1"/>
    <col min="12294" max="12294" width="8.5546875" style="1263" bestFit="1" customWidth="1"/>
    <col min="12295" max="12544" width="11.44140625" style="1263"/>
    <col min="12545" max="12545" width="13.44140625" style="1263" customWidth="1"/>
    <col min="12546" max="12546" width="89.5546875" style="1263" bestFit="1" customWidth="1"/>
    <col min="12547" max="12547" width="10" style="1263" bestFit="1" customWidth="1"/>
    <col min="12548" max="12548" width="15.33203125" style="1263" customWidth="1"/>
    <col min="12549" max="12549" width="19.5546875" style="1263" customWidth="1"/>
    <col min="12550" max="12550" width="8.5546875" style="1263" bestFit="1" customWidth="1"/>
    <col min="12551" max="12800" width="11.44140625" style="1263"/>
    <col min="12801" max="12801" width="13.44140625" style="1263" customWidth="1"/>
    <col min="12802" max="12802" width="89.5546875" style="1263" bestFit="1" customWidth="1"/>
    <col min="12803" max="12803" width="10" style="1263" bestFit="1" customWidth="1"/>
    <col min="12804" max="12804" width="15.33203125" style="1263" customWidth="1"/>
    <col min="12805" max="12805" width="19.5546875" style="1263" customWidth="1"/>
    <col min="12806" max="12806" width="8.5546875" style="1263" bestFit="1" customWidth="1"/>
    <col min="12807" max="13056" width="11.44140625" style="1263"/>
    <col min="13057" max="13057" width="13.44140625" style="1263" customWidth="1"/>
    <col min="13058" max="13058" width="89.5546875" style="1263" bestFit="1" customWidth="1"/>
    <col min="13059" max="13059" width="10" style="1263" bestFit="1" customWidth="1"/>
    <col min="13060" max="13060" width="15.33203125" style="1263" customWidth="1"/>
    <col min="13061" max="13061" width="19.5546875" style="1263" customWidth="1"/>
    <col min="13062" max="13062" width="8.5546875" style="1263" bestFit="1" customWidth="1"/>
    <col min="13063" max="13312" width="11.44140625" style="1263"/>
    <col min="13313" max="13313" width="13.44140625" style="1263" customWidth="1"/>
    <col min="13314" max="13314" width="89.5546875" style="1263" bestFit="1" customWidth="1"/>
    <col min="13315" max="13315" width="10" style="1263" bestFit="1" customWidth="1"/>
    <col min="13316" max="13316" width="15.33203125" style="1263" customWidth="1"/>
    <col min="13317" max="13317" width="19.5546875" style="1263" customWidth="1"/>
    <col min="13318" max="13318" width="8.5546875" style="1263" bestFit="1" customWidth="1"/>
    <col min="13319" max="13568" width="11.44140625" style="1263"/>
    <col min="13569" max="13569" width="13.44140625" style="1263" customWidth="1"/>
    <col min="13570" max="13570" width="89.5546875" style="1263" bestFit="1" customWidth="1"/>
    <col min="13571" max="13571" width="10" style="1263" bestFit="1" customWidth="1"/>
    <col min="13572" max="13572" width="15.33203125" style="1263" customWidth="1"/>
    <col min="13573" max="13573" width="19.5546875" style="1263" customWidth="1"/>
    <col min="13574" max="13574" width="8.5546875" style="1263" bestFit="1" customWidth="1"/>
    <col min="13575" max="13824" width="11.44140625" style="1263"/>
    <col min="13825" max="13825" width="13.44140625" style="1263" customWidth="1"/>
    <col min="13826" max="13826" width="89.5546875" style="1263" bestFit="1" customWidth="1"/>
    <col min="13827" max="13827" width="10" style="1263" bestFit="1" customWidth="1"/>
    <col min="13828" max="13828" width="15.33203125" style="1263" customWidth="1"/>
    <col min="13829" max="13829" width="19.5546875" style="1263" customWidth="1"/>
    <col min="13830" max="13830" width="8.5546875" style="1263" bestFit="1" customWidth="1"/>
    <col min="13831" max="14080" width="11.44140625" style="1263"/>
    <col min="14081" max="14081" width="13.44140625" style="1263" customWidth="1"/>
    <col min="14082" max="14082" width="89.5546875" style="1263" bestFit="1" customWidth="1"/>
    <col min="14083" max="14083" width="10" style="1263" bestFit="1" customWidth="1"/>
    <col min="14084" max="14084" width="15.33203125" style="1263" customWidth="1"/>
    <col min="14085" max="14085" width="19.5546875" style="1263" customWidth="1"/>
    <col min="14086" max="14086" width="8.5546875" style="1263" bestFit="1" customWidth="1"/>
    <col min="14087" max="14336" width="11.44140625" style="1263"/>
    <col min="14337" max="14337" width="13.44140625" style="1263" customWidth="1"/>
    <col min="14338" max="14338" width="89.5546875" style="1263" bestFit="1" customWidth="1"/>
    <col min="14339" max="14339" width="10" style="1263" bestFit="1" customWidth="1"/>
    <col min="14340" max="14340" width="15.33203125" style="1263" customWidth="1"/>
    <col min="14341" max="14341" width="19.5546875" style="1263" customWidth="1"/>
    <col min="14342" max="14342" width="8.5546875" style="1263" bestFit="1" customWidth="1"/>
    <col min="14343" max="14592" width="11.44140625" style="1263"/>
    <col min="14593" max="14593" width="13.44140625" style="1263" customWidth="1"/>
    <col min="14594" max="14594" width="89.5546875" style="1263" bestFit="1" customWidth="1"/>
    <col min="14595" max="14595" width="10" style="1263" bestFit="1" customWidth="1"/>
    <col min="14596" max="14596" width="15.33203125" style="1263" customWidth="1"/>
    <col min="14597" max="14597" width="19.5546875" style="1263" customWidth="1"/>
    <col min="14598" max="14598" width="8.5546875" style="1263" bestFit="1" customWidth="1"/>
    <col min="14599" max="14848" width="11.44140625" style="1263"/>
    <col min="14849" max="14849" width="13.44140625" style="1263" customWidth="1"/>
    <col min="14850" max="14850" width="89.5546875" style="1263" bestFit="1" customWidth="1"/>
    <col min="14851" max="14851" width="10" style="1263" bestFit="1" customWidth="1"/>
    <col min="14852" max="14852" width="15.33203125" style="1263" customWidth="1"/>
    <col min="14853" max="14853" width="19.5546875" style="1263" customWidth="1"/>
    <col min="14854" max="14854" width="8.5546875" style="1263" bestFit="1" customWidth="1"/>
    <col min="14855" max="15104" width="11.44140625" style="1263"/>
    <col min="15105" max="15105" width="13.44140625" style="1263" customWidth="1"/>
    <col min="15106" max="15106" width="89.5546875" style="1263" bestFit="1" customWidth="1"/>
    <col min="15107" max="15107" width="10" style="1263" bestFit="1" customWidth="1"/>
    <col min="15108" max="15108" width="15.33203125" style="1263" customWidth="1"/>
    <col min="15109" max="15109" width="19.5546875" style="1263" customWidth="1"/>
    <col min="15110" max="15110" width="8.5546875" style="1263" bestFit="1" customWidth="1"/>
    <col min="15111" max="15360" width="11.44140625" style="1263"/>
    <col min="15361" max="15361" width="13.44140625" style="1263" customWidth="1"/>
    <col min="15362" max="15362" width="89.5546875" style="1263" bestFit="1" customWidth="1"/>
    <col min="15363" max="15363" width="10" style="1263" bestFit="1" customWidth="1"/>
    <col min="15364" max="15364" width="15.33203125" style="1263" customWidth="1"/>
    <col min="15365" max="15365" width="19.5546875" style="1263" customWidth="1"/>
    <col min="15366" max="15366" width="8.5546875" style="1263" bestFit="1" customWidth="1"/>
    <col min="15367" max="15616" width="11.44140625" style="1263"/>
    <col min="15617" max="15617" width="13.44140625" style="1263" customWidth="1"/>
    <col min="15618" max="15618" width="89.5546875" style="1263" bestFit="1" customWidth="1"/>
    <col min="15619" max="15619" width="10" style="1263" bestFit="1" customWidth="1"/>
    <col min="15620" max="15620" width="15.33203125" style="1263" customWidth="1"/>
    <col min="15621" max="15621" width="19.5546875" style="1263" customWidth="1"/>
    <col min="15622" max="15622" width="8.5546875" style="1263" bestFit="1" customWidth="1"/>
    <col min="15623" max="15872" width="11.44140625" style="1263"/>
    <col min="15873" max="15873" width="13.44140625" style="1263" customWidth="1"/>
    <col min="15874" max="15874" width="89.5546875" style="1263" bestFit="1" customWidth="1"/>
    <col min="15875" max="15875" width="10" style="1263" bestFit="1" customWidth="1"/>
    <col min="15876" max="15876" width="15.33203125" style="1263" customWidth="1"/>
    <col min="15877" max="15877" width="19.5546875" style="1263" customWidth="1"/>
    <col min="15878" max="15878" width="8.5546875" style="1263" bestFit="1" customWidth="1"/>
    <col min="15879" max="16128" width="11.44140625" style="1263"/>
    <col min="16129" max="16129" width="13.44140625" style="1263" customWidth="1"/>
    <col min="16130" max="16130" width="89.5546875" style="1263" bestFit="1" customWidth="1"/>
    <col min="16131" max="16131" width="10" style="1263" bestFit="1" customWidth="1"/>
    <col min="16132" max="16132" width="15.33203125" style="1263" customWidth="1"/>
    <col min="16133" max="16133" width="19.5546875" style="1263" customWidth="1"/>
    <col min="16134" max="16134" width="8.5546875" style="1263" bestFit="1" customWidth="1"/>
    <col min="16135" max="16384" width="11.44140625" style="1263"/>
  </cols>
  <sheetData>
    <row r="1" spans="1:10" ht="20.399999999999999">
      <c r="A1" s="1323"/>
      <c r="B1" s="1324"/>
      <c r="C1" s="1324"/>
      <c r="D1" s="1324"/>
      <c r="E1" s="2164"/>
      <c r="F1" s="2164"/>
    </row>
    <row r="2" spans="1:10" ht="15.6">
      <c r="A2" s="2165" t="s">
        <v>713</v>
      </c>
      <c r="B2" s="2165"/>
      <c r="C2" s="2165"/>
      <c r="D2" s="2165"/>
      <c r="E2" s="2165"/>
      <c r="F2" s="2165"/>
    </row>
    <row r="3" spans="1:10" ht="17.399999999999999">
      <c r="A3" s="1282"/>
      <c r="B3" s="1282"/>
      <c r="C3" s="1282"/>
      <c r="D3" s="1282"/>
      <c r="E3" s="1282"/>
      <c r="F3" s="1283"/>
    </row>
    <row r="4" spans="1:10" ht="17.399999999999999">
      <c r="A4" s="1284" t="s">
        <v>247</v>
      </c>
      <c r="B4" s="1284"/>
      <c r="C4" s="1284"/>
      <c r="D4" s="1284"/>
      <c r="E4" s="1284"/>
      <c r="F4" s="1285"/>
    </row>
    <row r="5" spans="1:10" ht="17.399999999999999">
      <c r="A5" s="1284" t="s">
        <v>229</v>
      </c>
      <c r="B5" s="1284"/>
      <c r="C5" s="1284"/>
      <c r="D5" s="1284"/>
      <c r="E5" s="1284"/>
      <c r="F5" s="1285"/>
    </row>
    <row r="6" spans="1:10">
      <c r="A6" s="2166"/>
      <c r="B6" s="2166"/>
      <c r="C6" s="1288"/>
      <c r="D6" s="1288"/>
      <c r="E6" s="1288"/>
      <c r="F6" s="1289"/>
    </row>
    <row r="7" spans="1:10" ht="17.399999999999999">
      <c r="A7" s="1286" t="s">
        <v>233</v>
      </c>
      <c r="B7" s="1287"/>
      <c r="C7" s="1287"/>
      <c r="D7" s="1287"/>
      <c r="E7" s="1287"/>
      <c r="F7" s="1287"/>
    </row>
    <row r="8" spans="1:10" ht="13.8" thickBot="1">
      <c r="A8" s="1278"/>
      <c r="B8" s="1278"/>
      <c r="C8" s="1278"/>
      <c r="D8" s="1278"/>
      <c r="E8" s="1278"/>
      <c r="F8" s="1325"/>
    </row>
    <row r="9" spans="1:10" ht="52.8">
      <c r="A9" s="1889" t="s">
        <v>8</v>
      </c>
      <c r="B9" s="1890" t="s">
        <v>125</v>
      </c>
      <c r="C9" s="1430" t="s">
        <v>109</v>
      </c>
      <c r="D9" s="1430" t="s">
        <v>158</v>
      </c>
      <c r="E9" s="1430" t="s">
        <v>146</v>
      </c>
      <c r="F9" s="1893" t="s">
        <v>307</v>
      </c>
    </row>
    <row r="10" spans="1:10" ht="14.1" customHeight="1">
      <c r="A10" s="1326" t="s">
        <v>23</v>
      </c>
      <c r="B10" s="1327" t="s">
        <v>24</v>
      </c>
      <c r="C10" s="1328">
        <v>1</v>
      </c>
      <c r="D10" s="1328"/>
      <c r="E10" s="1328">
        <v>1</v>
      </c>
      <c r="F10" s="1329">
        <f t="shared" ref="F10:F18" si="0">E10/C10</f>
        <v>1</v>
      </c>
      <c r="J10" s="1765">
        <f>11/1169</f>
        <v>9.4097519247219839E-3</v>
      </c>
    </row>
    <row r="11" spans="1:10" ht="14.1" customHeight="1">
      <c r="A11" s="1301" t="s">
        <v>25</v>
      </c>
      <c r="B11" s="1327" t="s">
        <v>26</v>
      </c>
      <c r="C11" s="1328">
        <v>1</v>
      </c>
      <c r="D11" s="1328"/>
      <c r="E11" s="1328">
        <v>1</v>
      </c>
      <c r="F11" s="1329">
        <f t="shared" si="0"/>
        <v>1</v>
      </c>
    </row>
    <row r="12" spans="1:10" ht="14.1" customHeight="1">
      <c r="A12" s="1301" t="s">
        <v>29</v>
      </c>
      <c r="B12" s="1327" t="s">
        <v>30</v>
      </c>
      <c r="C12" s="1328">
        <v>1</v>
      </c>
      <c r="D12" s="1328"/>
      <c r="E12" s="1328">
        <v>1</v>
      </c>
      <c r="F12" s="1329">
        <f t="shared" si="0"/>
        <v>1</v>
      </c>
    </row>
    <row r="13" spans="1:10" ht="14.1" customHeight="1">
      <c r="A13" s="1301" t="s">
        <v>40</v>
      </c>
      <c r="B13" s="1327" t="s">
        <v>41</v>
      </c>
      <c r="C13" s="1328">
        <v>1</v>
      </c>
      <c r="D13" s="1328"/>
      <c r="E13" s="1328">
        <v>1</v>
      </c>
      <c r="F13" s="1329">
        <f t="shared" si="0"/>
        <v>1</v>
      </c>
    </row>
    <row r="14" spans="1:10" ht="14.1" customHeight="1">
      <c r="A14" s="1301" t="s">
        <v>42</v>
      </c>
      <c r="B14" s="1327" t="s">
        <v>230</v>
      </c>
      <c r="C14" s="1328">
        <v>2</v>
      </c>
      <c r="D14" s="1328"/>
      <c r="E14" s="1328">
        <v>2</v>
      </c>
      <c r="F14" s="1329">
        <f t="shared" si="0"/>
        <v>1</v>
      </c>
    </row>
    <row r="15" spans="1:10" ht="14.1" customHeight="1">
      <c r="A15" s="1301" t="s">
        <v>47</v>
      </c>
      <c r="B15" s="1327" t="s">
        <v>232</v>
      </c>
      <c r="C15" s="1328">
        <v>2</v>
      </c>
      <c r="D15" s="1328"/>
      <c r="E15" s="1328">
        <v>2</v>
      </c>
      <c r="F15" s="1329">
        <f t="shared" si="0"/>
        <v>1</v>
      </c>
    </row>
    <row r="16" spans="1:10" ht="14.1" customHeight="1">
      <c r="A16" s="1301" t="s">
        <v>54</v>
      </c>
      <c r="B16" s="1327" t="s">
        <v>55</v>
      </c>
      <c r="C16" s="1328">
        <v>1</v>
      </c>
      <c r="D16" s="1328"/>
      <c r="E16" s="1328">
        <v>1</v>
      </c>
      <c r="F16" s="1329">
        <f t="shared" si="0"/>
        <v>1</v>
      </c>
    </row>
    <row r="17" spans="1:6" ht="14.1" customHeight="1">
      <c r="A17" s="1301" t="s">
        <v>103</v>
      </c>
      <c r="B17" s="1327" t="s">
        <v>104</v>
      </c>
      <c r="C17" s="1328">
        <v>1</v>
      </c>
      <c r="D17" s="1328"/>
      <c r="E17" s="1328">
        <v>1</v>
      </c>
      <c r="F17" s="1329">
        <f t="shared" si="0"/>
        <v>1</v>
      </c>
    </row>
    <row r="18" spans="1:6" ht="14.1" customHeight="1">
      <c r="A18" s="1301" t="s">
        <v>517</v>
      </c>
      <c r="B18" s="1327" t="s">
        <v>518</v>
      </c>
      <c r="C18" s="1328">
        <v>1</v>
      </c>
      <c r="D18" s="1328"/>
      <c r="E18" s="1328">
        <v>1</v>
      </c>
      <c r="F18" s="1329">
        <f t="shared" si="0"/>
        <v>1</v>
      </c>
    </row>
    <row r="19" spans="1:6" ht="14.1" customHeight="1" thickBot="1">
      <c r="A19" s="2167" t="s">
        <v>105</v>
      </c>
      <c r="B19" s="2168"/>
      <c r="C19" s="1330">
        <f>SUM(C10:C18)</f>
        <v>11</v>
      </c>
      <c r="D19" s="1331">
        <f>SUM(D10:D18)</f>
        <v>0</v>
      </c>
      <c r="E19" s="1331">
        <f>SUM(E10:E18)</f>
        <v>11</v>
      </c>
      <c r="F19" s="1332">
        <f>E19/C19</f>
        <v>1</v>
      </c>
    </row>
    <row r="20" spans="1:6" ht="14.4" thickBot="1">
      <c r="A20" s="1333" t="s">
        <v>937</v>
      </c>
      <c r="B20" s="1334"/>
      <c r="C20" s="1335"/>
      <c r="D20" s="1336">
        <f>D19/C19</f>
        <v>0</v>
      </c>
      <c r="E20" s="1337">
        <f>E19/C19</f>
        <v>1</v>
      </c>
      <c r="F20" s="1319"/>
    </row>
    <row r="21" spans="1:6">
      <c r="A21" s="1894"/>
      <c r="B21" s="1894"/>
      <c r="C21" s="1338"/>
      <c r="D21" s="1338"/>
      <c r="E21" s="1338"/>
      <c r="F21" s="1339"/>
    </row>
    <row r="24" spans="1:6" ht="17.399999999999999">
      <c r="A24" s="2169" t="s">
        <v>733</v>
      </c>
      <c r="B24" s="2169"/>
      <c r="C24" s="2169"/>
      <c r="D24" s="2169"/>
      <c r="E24" s="2169"/>
      <c r="F24" s="2169"/>
    </row>
    <row r="25" spans="1:6" ht="13.8" thickBot="1">
      <c r="A25" s="1278"/>
      <c r="B25" s="1278"/>
      <c r="C25" s="1278"/>
      <c r="D25" s="1278"/>
      <c r="E25" s="1278"/>
      <c r="F25" s="1325"/>
    </row>
    <row r="26" spans="1:6" ht="52.8">
      <c r="A26" s="1889" t="s">
        <v>8</v>
      </c>
      <c r="B26" s="1890" t="s">
        <v>125</v>
      </c>
      <c r="C26" s="1430" t="s">
        <v>109</v>
      </c>
      <c r="D26" s="1430" t="s">
        <v>158</v>
      </c>
      <c r="E26" s="1430" t="s">
        <v>146</v>
      </c>
      <c r="F26" s="1893" t="s">
        <v>307</v>
      </c>
    </row>
    <row r="27" spans="1:6" ht="14.1" customHeight="1">
      <c r="A27" s="1326" t="s">
        <v>99</v>
      </c>
      <c r="B27" s="1327" t="s">
        <v>100</v>
      </c>
      <c r="C27" s="1328">
        <v>1</v>
      </c>
      <c r="D27" s="1328"/>
      <c r="E27" s="1328">
        <v>1</v>
      </c>
      <c r="F27" s="1329">
        <f>E27/C27</f>
        <v>1</v>
      </c>
    </row>
    <row r="28" spans="1:6" ht="14.1" customHeight="1" thickBot="1">
      <c r="A28" s="2167" t="s">
        <v>105</v>
      </c>
      <c r="B28" s="2168"/>
      <c r="C28" s="1330">
        <f>SUM(C27:C27)</f>
        <v>1</v>
      </c>
      <c r="D28" s="1331">
        <f>SUM(D27:D27)</f>
        <v>0</v>
      </c>
      <c r="E28" s="1331">
        <f>SUM(E27:E27)</f>
        <v>1</v>
      </c>
      <c r="F28" s="1975">
        <f>E28/C28</f>
        <v>1</v>
      </c>
    </row>
    <row r="29" spans="1:6" ht="14.4" thickBot="1">
      <c r="A29" s="1922"/>
      <c r="B29" s="1334"/>
      <c r="C29" s="1335"/>
      <c r="D29" s="1336">
        <f>D28/C28</f>
        <v>0</v>
      </c>
      <c r="E29" s="1974">
        <f>E28/C28</f>
        <v>1</v>
      </c>
      <c r="F29" s="1922"/>
    </row>
  </sheetData>
  <mergeCells count="6">
    <mergeCell ref="E1:F1"/>
    <mergeCell ref="A2:F2"/>
    <mergeCell ref="A6:B6"/>
    <mergeCell ref="A19:B19"/>
    <mergeCell ref="A28:B28"/>
    <mergeCell ref="A24:F24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90" orientation="landscape" r:id="rId1"/>
  <headerFooter alignWithMargins="0">
    <oddHeader>&amp;LDGRH A1-1</oddHeader>
    <oddFooter>&amp;CPage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66"/>
  </sheetPr>
  <dimension ref="A2:F70"/>
  <sheetViews>
    <sheetView topLeftCell="A20" zoomScale="85" zoomScaleNormal="85" workbookViewId="0">
      <selection activeCell="L18" sqref="L18"/>
    </sheetView>
  </sheetViews>
  <sheetFormatPr baseColWidth="10" defaultColWidth="10" defaultRowHeight="13.2"/>
  <cols>
    <col min="1" max="1" width="10" style="1263" customWidth="1"/>
    <col min="2" max="2" width="78.88671875" style="1263" customWidth="1"/>
    <col min="3" max="253" width="10" style="1263"/>
    <col min="254" max="254" width="10" style="1263" customWidth="1"/>
    <col min="255" max="255" width="78.88671875" style="1263" customWidth="1"/>
    <col min="256" max="509" width="10" style="1263"/>
    <col min="510" max="510" width="10" style="1263" customWidth="1"/>
    <col min="511" max="511" width="78.88671875" style="1263" customWidth="1"/>
    <col min="512" max="765" width="10" style="1263"/>
    <col min="766" max="766" width="10" style="1263" customWidth="1"/>
    <col min="767" max="767" width="78.88671875" style="1263" customWidth="1"/>
    <col min="768" max="1021" width="10" style="1263"/>
    <col min="1022" max="1022" width="10" style="1263" customWidth="1"/>
    <col min="1023" max="1023" width="78.88671875" style="1263" customWidth="1"/>
    <col min="1024" max="1277" width="10" style="1263"/>
    <col min="1278" max="1278" width="10" style="1263" customWidth="1"/>
    <col min="1279" max="1279" width="78.88671875" style="1263" customWidth="1"/>
    <col min="1280" max="1533" width="10" style="1263"/>
    <col min="1534" max="1534" width="10" style="1263" customWidth="1"/>
    <col min="1535" max="1535" width="78.88671875" style="1263" customWidth="1"/>
    <col min="1536" max="1789" width="10" style="1263"/>
    <col min="1790" max="1790" width="10" style="1263" customWidth="1"/>
    <col min="1791" max="1791" width="78.88671875" style="1263" customWidth="1"/>
    <col min="1792" max="2045" width="10" style="1263"/>
    <col min="2046" max="2046" width="10" style="1263" customWidth="1"/>
    <col min="2047" max="2047" width="78.88671875" style="1263" customWidth="1"/>
    <col min="2048" max="2301" width="10" style="1263"/>
    <col min="2302" max="2302" width="10" style="1263" customWidth="1"/>
    <col min="2303" max="2303" width="78.88671875" style="1263" customWidth="1"/>
    <col min="2304" max="2557" width="10" style="1263"/>
    <col min="2558" max="2558" width="10" style="1263" customWidth="1"/>
    <col min="2559" max="2559" width="78.88671875" style="1263" customWidth="1"/>
    <col min="2560" max="2813" width="10" style="1263"/>
    <col min="2814" max="2814" width="10" style="1263" customWidth="1"/>
    <col min="2815" max="2815" width="78.88671875" style="1263" customWidth="1"/>
    <col min="2816" max="3069" width="10" style="1263"/>
    <col min="3070" max="3070" width="10" style="1263" customWidth="1"/>
    <col min="3071" max="3071" width="78.88671875" style="1263" customWidth="1"/>
    <col min="3072" max="3325" width="10" style="1263"/>
    <col min="3326" max="3326" width="10" style="1263" customWidth="1"/>
    <col min="3327" max="3327" width="78.88671875" style="1263" customWidth="1"/>
    <col min="3328" max="3581" width="10" style="1263"/>
    <col min="3582" max="3582" width="10" style="1263" customWidth="1"/>
    <col min="3583" max="3583" width="78.88671875" style="1263" customWidth="1"/>
    <col min="3584" max="3837" width="10" style="1263"/>
    <col min="3838" max="3838" width="10" style="1263" customWidth="1"/>
    <col min="3839" max="3839" width="78.88671875" style="1263" customWidth="1"/>
    <col min="3840" max="4093" width="10" style="1263"/>
    <col min="4094" max="4094" width="10" style="1263" customWidth="1"/>
    <col min="4095" max="4095" width="78.88671875" style="1263" customWidth="1"/>
    <col min="4096" max="4349" width="10" style="1263"/>
    <col min="4350" max="4350" width="10" style="1263" customWidth="1"/>
    <col min="4351" max="4351" width="78.88671875" style="1263" customWidth="1"/>
    <col min="4352" max="4605" width="10" style="1263"/>
    <col min="4606" max="4606" width="10" style="1263" customWidth="1"/>
    <col min="4607" max="4607" width="78.88671875" style="1263" customWidth="1"/>
    <col min="4608" max="4861" width="10" style="1263"/>
    <col min="4862" max="4862" width="10" style="1263" customWidth="1"/>
    <col min="4863" max="4863" width="78.88671875" style="1263" customWidth="1"/>
    <col min="4864" max="5117" width="10" style="1263"/>
    <col min="5118" max="5118" width="10" style="1263" customWidth="1"/>
    <col min="5119" max="5119" width="78.88671875" style="1263" customWidth="1"/>
    <col min="5120" max="5373" width="10" style="1263"/>
    <col min="5374" max="5374" width="10" style="1263" customWidth="1"/>
    <col min="5375" max="5375" width="78.88671875" style="1263" customWidth="1"/>
    <col min="5376" max="5629" width="10" style="1263"/>
    <col min="5630" max="5630" width="10" style="1263" customWidth="1"/>
    <col min="5631" max="5631" width="78.88671875" style="1263" customWidth="1"/>
    <col min="5632" max="5885" width="10" style="1263"/>
    <col min="5886" max="5886" width="10" style="1263" customWidth="1"/>
    <col min="5887" max="5887" width="78.88671875" style="1263" customWidth="1"/>
    <col min="5888" max="6141" width="10" style="1263"/>
    <col min="6142" max="6142" width="10" style="1263" customWidth="1"/>
    <col min="6143" max="6143" width="78.88671875" style="1263" customWidth="1"/>
    <col min="6144" max="6397" width="10" style="1263"/>
    <col min="6398" max="6398" width="10" style="1263" customWidth="1"/>
    <col min="6399" max="6399" width="78.88671875" style="1263" customWidth="1"/>
    <col min="6400" max="6653" width="10" style="1263"/>
    <col min="6654" max="6654" width="10" style="1263" customWidth="1"/>
    <col min="6655" max="6655" width="78.88671875" style="1263" customWidth="1"/>
    <col min="6656" max="6909" width="10" style="1263"/>
    <col min="6910" max="6910" width="10" style="1263" customWidth="1"/>
    <col min="6911" max="6911" width="78.88671875" style="1263" customWidth="1"/>
    <col min="6912" max="7165" width="10" style="1263"/>
    <col min="7166" max="7166" width="10" style="1263" customWidth="1"/>
    <col min="7167" max="7167" width="78.88671875" style="1263" customWidth="1"/>
    <col min="7168" max="7421" width="10" style="1263"/>
    <col min="7422" max="7422" width="10" style="1263" customWidth="1"/>
    <col min="7423" max="7423" width="78.88671875" style="1263" customWidth="1"/>
    <col min="7424" max="7677" width="10" style="1263"/>
    <col min="7678" max="7678" width="10" style="1263" customWidth="1"/>
    <col min="7679" max="7679" width="78.88671875" style="1263" customWidth="1"/>
    <col min="7680" max="7933" width="10" style="1263"/>
    <col min="7934" max="7934" width="10" style="1263" customWidth="1"/>
    <col min="7935" max="7935" width="78.88671875" style="1263" customWidth="1"/>
    <col min="7936" max="8189" width="10" style="1263"/>
    <col min="8190" max="8190" width="10" style="1263" customWidth="1"/>
    <col min="8191" max="8191" width="78.88671875" style="1263" customWidth="1"/>
    <col min="8192" max="8445" width="10" style="1263"/>
    <col min="8446" max="8446" width="10" style="1263" customWidth="1"/>
    <col min="8447" max="8447" width="78.88671875" style="1263" customWidth="1"/>
    <col min="8448" max="8701" width="10" style="1263"/>
    <col min="8702" max="8702" width="10" style="1263" customWidth="1"/>
    <col min="8703" max="8703" width="78.88671875" style="1263" customWidth="1"/>
    <col min="8704" max="8957" width="10" style="1263"/>
    <col min="8958" max="8958" width="10" style="1263" customWidth="1"/>
    <col min="8959" max="8959" width="78.88671875" style="1263" customWidth="1"/>
    <col min="8960" max="9213" width="10" style="1263"/>
    <col min="9214" max="9214" width="10" style="1263" customWidth="1"/>
    <col min="9215" max="9215" width="78.88671875" style="1263" customWidth="1"/>
    <col min="9216" max="9469" width="10" style="1263"/>
    <col min="9470" max="9470" width="10" style="1263" customWidth="1"/>
    <col min="9471" max="9471" width="78.88671875" style="1263" customWidth="1"/>
    <col min="9472" max="9725" width="10" style="1263"/>
    <col min="9726" max="9726" width="10" style="1263" customWidth="1"/>
    <col min="9727" max="9727" width="78.88671875" style="1263" customWidth="1"/>
    <col min="9728" max="9981" width="10" style="1263"/>
    <col min="9982" max="9982" width="10" style="1263" customWidth="1"/>
    <col min="9983" max="9983" width="78.88671875" style="1263" customWidth="1"/>
    <col min="9984" max="10237" width="10" style="1263"/>
    <col min="10238" max="10238" width="10" style="1263" customWidth="1"/>
    <col min="10239" max="10239" width="78.88671875" style="1263" customWidth="1"/>
    <col min="10240" max="10493" width="10" style="1263"/>
    <col min="10494" max="10494" width="10" style="1263" customWidth="1"/>
    <col min="10495" max="10495" width="78.88671875" style="1263" customWidth="1"/>
    <col min="10496" max="10749" width="10" style="1263"/>
    <col min="10750" max="10750" width="10" style="1263" customWidth="1"/>
    <col min="10751" max="10751" width="78.88671875" style="1263" customWidth="1"/>
    <col min="10752" max="11005" width="10" style="1263"/>
    <col min="11006" max="11006" width="10" style="1263" customWidth="1"/>
    <col min="11007" max="11007" width="78.88671875" style="1263" customWidth="1"/>
    <col min="11008" max="11261" width="10" style="1263"/>
    <col min="11262" max="11262" width="10" style="1263" customWidth="1"/>
    <col min="11263" max="11263" width="78.88671875" style="1263" customWidth="1"/>
    <col min="11264" max="11517" width="10" style="1263"/>
    <col min="11518" max="11518" width="10" style="1263" customWidth="1"/>
    <col min="11519" max="11519" width="78.88671875" style="1263" customWidth="1"/>
    <col min="11520" max="11773" width="10" style="1263"/>
    <col min="11774" max="11774" width="10" style="1263" customWidth="1"/>
    <col min="11775" max="11775" width="78.88671875" style="1263" customWidth="1"/>
    <col min="11776" max="12029" width="10" style="1263"/>
    <col min="12030" max="12030" width="10" style="1263" customWidth="1"/>
    <col min="12031" max="12031" width="78.88671875" style="1263" customWidth="1"/>
    <col min="12032" max="12285" width="10" style="1263"/>
    <col min="12286" max="12286" width="10" style="1263" customWidth="1"/>
    <col min="12287" max="12287" width="78.88671875" style="1263" customWidth="1"/>
    <col min="12288" max="12541" width="10" style="1263"/>
    <col min="12542" max="12542" width="10" style="1263" customWidth="1"/>
    <col min="12543" max="12543" width="78.88671875" style="1263" customWidth="1"/>
    <col min="12544" max="12797" width="10" style="1263"/>
    <col min="12798" max="12798" width="10" style="1263" customWidth="1"/>
    <col min="12799" max="12799" width="78.88671875" style="1263" customWidth="1"/>
    <col min="12800" max="13053" width="10" style="1263"/>
    <col min="13054" max="13054" width="10" style="1263" customWidth="1"/>
    <col min="13055" max="13055" width="78.88671875" style="1263" customWidth="1"/>
    <col min="13056" max="13309" width="10" style="1263"/>
    <col min="13310" max="13310" width="10" style="1263" customWidth="1"/>
    <col min="13311" max="13311" width="78.88671875" style="1263" customWidth="1"/>
    <col min="13312" max="13565" width="10" style="1263"/>
    <col min="13566" max="13566" width="10" style="1263" customWidth="1"/>
    <col min="13567" max="13567" width="78.88671875" style="1263" customWidth="1"/>
    <col min="13568" max="13821" width="10" style="1263"/>
    <col min="13822" max="13822" width="10" style="1263" customWidth="1"/>
    <col min="13823" max="13823" width="78.88671875" style="1263" customWidth="1"/>
    <col min="13824" max="14077" width="10" style="1263"/>
    <col min="14078" max="14078" width="10" style="1263" customWidth="1"/>
    <col min="14079" max="14079" width="78.88671875" style="1263" customWidth="1"/>
    <col min="14080" max="14333" width="10" style="1263"/>
    <col min="14334" max="14334" width="10" style="1263" customWidth="1"/>
    <col min="14335" max="14335" width="78.88671875" style="1263" customWidth="1"/>
    <col min="14336" max="14589" width="10" style="1263"/>
    <col min="14590" max="14590" width="10" style="1263" customWidth="1"/>
    <col min="14591" max="14591" width="78.88671875" style="1263" customWidth="1"/>
    <col min="14592" max="14845" width="10" style="1263"/>
    <col min="14846" max="14846" width="10" style="1263" customWidth="1"/>
    <col min="14847" max="14847" width="78.88671875" style="1263" customWidth="1"/>
    <col min="14848" max="15101" width="10" style="1263"/>
    <col min="15102" max="15102" width="10" style="1263" customWidth="1"/>
    <col min="15103" max="15103" width="78.88671875" style="1263" customWidth="1"/>
    <col min="15104" max="15357" width="10" style="1263"/>
    <col min="15358" max="15358" width="10" style="1263" customWidth="1"/>
    <col min="15359" max="15359" width="78.88671875" style="1263" customWidth="1"/>
    <col min="15360" max="15613" width="10" style="1263"/>
    <col min="15614" max="15614" width="10" style="1263" customWidth="1"/>
    <col min="15615" max="15615" width="78.88671875" style="1263" customWidth="1"/>
    <col min="15616" max="15869" width="10" style="1263"/>
    <col min="15870" max="15870" width="10" style="1263" customWidth="1"/>
    <col min="15871" max="15871" width="78.88671875" style="1263" customWidth="1"/>
    <col min="15872" max="16125" width="10" style="1263"/>
    <col min="16126" max="16126" width="10" style="1263" customWidth="1"/>
    <col min="16127" max="16127" width="78.88671875" style="1263" customWidth="1"/>
    <col min="16128" max="16384" width="10" style="1263"/>
  </cols>
  <sheetData>
    <row r="2" spans="1:5" ht="15.6">
      <c r="A2" s="2165" t="s">
        <v>713</v>
      </c>
      <c r="B2" s="2165"/>
      <c r="C2" s="2165"/>
      <c r="D2" s="2165"/>
      <c r="E2" s="2165"/>
    </row>
    <row r="4" spans="1:5" ht="17.399999999999999">
      <c r="A4" s="2170" t="s">
        <v>249</v>
      </c>
      <c r="B4" s="2170"/>
      <c r="C4" s="2170"/>
      <c r="D4" s="2170"/>
      <c r="E4" s="2170"/>
    </row>
    <row r="5" spans="1:5" ht="17.399999999999999">
      <c r="A5" s="2169" t="s">
        <v>1006</v>
      </c>
      <c r="B5" s="2169"/>
      <c r="C5" s="2169"/>
      <c r="D5" s="2169"/>
      <c r="E5" s="2169"/>
    </row>
    <row r="6" spans="1:5" ht="13.8" thickBot="1"/>
    <row r="7" spans="1:5" ht="13.8" thickBot="1">
      <c r="A7" s="1340"/>
      <c r="B7" s="1341"/>
      <c r="C7" s="1342" t="s">
        <v>143</v>
      </c>
      <c r="D7" s="1343"/>
      <c r="E7" s="1344"/>
    </row>
    <row r="8" spans="1:5" ht="29.25" customHeight="1">
      <c r="A8" s="1345" t="s">
        <v>8</v>
      </c>
      <c r="B8" s="1346" t="s">
        <v>125</v>
      </c>
      <c r="C8" s="1347" t="s">
        <v>119</v>
      </c>
      <c r="D8" s="1347" t="s">
        <v>120</v>
      </c>
      <c r="E8" s="1348" t="s">
        <v>121</v>
      </c>
    </row>
    <row r="9" spans="1:5">
      <c r="A9" s="1349" t="s">
        <v>9</v>
      </c>
      <c r="B9" s="1350" t="s">
        <v>10</v>
      </c>
      <c r="C9" s="196">
        <v>222</v>
      </c>
      <c r="D9" s="196">
        <v>68</v>
      </c>
      <c r="E9" s="1351">
        <f t="shared" ref="E9:E65" si="0">D9/C9</f>
        <v>0.30630630630630629</v>
      </c>
    </row>
    <row r="10" spans="1:5">
      <c r="A10" s="1352" t="s">
        <v>11</v>
      </c>
      <c r="B10" s="1353" t="s">
        <v>12</v>
      </c>
      <c r="C10" s="194">
        <v>228</v>
      </c>
      <c r="D10" s="194">
        <v>53</v>
      </c>
      <c r="E10" s="1354">
        <f t="shared" si="0"/>
        <v>0.23245614035087719</v>
      </c>
    </row>
    <row r="11" spans="1:5">
      <c r="A11" s="1352" t="s">
        <v>13</v>
      </c>
      <c r="B11" s="1353" t="s">
        <v>14</v>
      </c>
      <c r="C11" s="194">
        <v>45</v>
      </c>
      <c r="D11" s="194">
        <v>13</v>
      </c>
      <c r="E11" s="1354">
        <f t="shared" si="0"/>
        <v>0.28888888888888886</v>
      </c>
    </row>
    <row r="12" spans="1:5">
      <c r="A12" s="1352" t="s">
        <v>15</v>
      </c>
      <c r="B12" s="1353" t="s">
        <v>16</v>
      </c>
      <c r="C12" s="194">
        <v>242</v>
      </c>
      <c r="D12" s="194">
        <v>102</v>
      </c>
      <c r="E12" s="1354">
        <f t="shared" si="0"/>
        <v>0.42148760330578511</v>
      </c>
    </row>
    <row r="13" spans="1:5">
      <c r="A13" s="1352" t="s">
        <v>17</v>
      </c>
      <c r="B13" s="1353" t="s">
        <v>18</v>
      </c>
      <c r="C13" s="194">
        <v>309</v>
      </c>
      <c r="D13" s="194">
        <v>185</v>
      </c>
      <c r="E13" s="1354">
        <f t="shared" si="0"/>
        <v>0.59870550161812297</v>
      </c>
    </row>
    <row r="14" spans="1:5">
      <c r="A14" s="1352" t="s">
        <v>19</v>
      </c>
      <c r="B14" s="1353" t="s">
        <v>20</v>
      </c>
      <c r="C14" s="194">
        <v>350</v>
      </c>
      <c r="D14" s="194">
        <v>195</v>
      </c>
      <c r="E14" s="1354">
        <f t="shared" si="0"/>
        <v>0.55714285714285716</v>
      </c>
    </row>
    <row r="15" spans="1:5">
      <c r="A15" s="1352" t="s">
        <v>21</v>
      </c>
      <c r="B15" s="1353" t="s">
        <v>22</v>
      </c>
      <c r="C15" s="194">
        <v>273</v>
      </c>
      <c r="D15" s="194">
        <v>182</v>
      </c>
      <c r="E15" s="1354">
        <f t="shared" si="0"/>
        <v>0.66666666666666663</v>
      </c>
    </row>
    <row r="16" spans="1:5">
      <c r="A16" s="1352" t="s">
        <v>23</v>
      </c>
      <c r="B16" s="1353" t="s">
        <v>24</v>
      </c>
      <c r="C16" s="194">
        <v>61</v>
      </c>
      <c r="D16" s="194">
        <v>45</v>
      </c>
      <c r="E16" s="1354">
        <f t="shared" si="0"/>
        <v>0.73770491803278693</v>
      </c>
    </row>
    <row r="17" spans="1:6">
      <c r="A17" s="1352" t="s">
        <v>25</v>
      </c>
      <c r="B17" s="1353" t="s">
        <v>26</v>
      </c>
      <c r="C17" s="194">
        <v>236</v>
      </c>
      <c r="D17" s="194">
        <v>146</v>
      </c>
      <c r="E17" s="1354">
        <f t="shared" si="0"/>
        <v>0.61864406779661019</v>
      </c>
    </row>
    <row r="18" spans="1:6">
      <c r="A18" s="1352" t="s">
        <v>27</v>
      </c>
      <c r="B18" s="1353" t="s">
        <v>28</v>
      </c>
      <c r="C18" s="194">
        <v>99</v>
      </c>
      <c r="D18" s="194">
        <v>59</v>
      </c>
      <c r="E18" s="1354">
        <f t="shared" si="0"/>
        <v>0.59595959595959591</v>
      </c>
    </row>
    <row r="19" spans="1:6">
      <c r="A19" s="1352" t="s">
        <v>29</v>
      </c>
      <c r="B19" s="1353" t="s">
        <v>30</v>
      </c>
      <c r="C19" s="194">
        <v>191</v>
      </c>
      <c r="D19" s="194">
        <v>129</v>
      </c>
      <c r="E19" s="1354">
        <f t="shared" si="0"/>
        <v>0.67539267015706805</v>
      </c>
    </row>
    <row r="20" spans="1:6">
      <c r="A20" s="1352" t="s">
        <v>31</v>
      </c>
      <c r="B20" s="1353" t="s">
        <v>32</v>
      </c>
      <c r="C20" s="194">
        <v>52</v>
      </c>
      <c r="D20" s="194">
        <v>42</v>
      </c>
      <c r="E20" s="1354">
        <f t="shared" si="0"/>
        <v>0.80769230769230771</v>
      </c>
    </row>
    <row r="21" spans="1:6">
      <c r="A21" s="1352" t="s">
        <v>33</v>
      </c>
      <c r="B21" s="1353" t="s">
        <v>34</v>
      </c>
      <c r="C21" s="194">
        <v>32</v>
      </c>
      <c r="D21" s="194">
        <v>22</v>
      </c>
      <c r="E21" s="1354">
        <f t="shared" si="0"/>
        <v>0.6875</v>
      </c>
    </row>
    <row r="22" spans="1:6">
      <c r="A22" s="1352" t="s">
        <v>35</v>
      </c>
      <c r="B22" s="1353" t="s">
        <v>36</v>
      </c>
      <c r="C22" s="194">
        <v>167</v>
      </c>
      <c r="D22" s="194">
        <v>100</v>
      </c>
      <c r="E22" s="1354">
        <f t="shared" si="0"/>
        <v>0.59880239520958078</v>
      </c>
    </row>
    <row r="23" spans="1:6">
      <c r="A23" s="1352" t="s">
        <v>37</v>
      </c>
      <c r="B23" s="1353" t="s">
        <v>122</v>
      </c>
      <c r="C23" s="194">
        <v>130</v>
      </c>
      <c r="D23" s="194">
        <v>96</v>
      </c>
      <c r="E23" s="1354">
        <f t="shared" si="0"/>
        <v>0.7384615384615385</v>
      </c>
    </row>
    <row r="24" spans="1:6">
      <c r="A24" s="1352" t="s">
        <v>38</v>
      </c>
      <c r="B24" s="1353" t="s">
        <v>39</v>
      </c>
      <c r="C24" s="194">
        <v>273</v>
      </c>
      <c r="D24" s="194">
        <v>163</v>
      </c>
      <c r="E24" s="1354">
        <f t="shared" si="0"/>
        <v>0.59706959706959706</v>
      </c>
    </row>
    <row r="25" spans="1:6">
      <c r="A25" s="1352" t="s">
        <v>40</v>
      </c>
      <c r="B25" s="1353" t="s">
        <v>41</v>
      </c>
      <c r="C25" s="194">
        <v>231</v>
      </c>
      <c r="D25" s="194">
        <v>179</v>
      </c>
      <c r="E25" s="1354">
        <f t="shared" si="0"/>
        <v>0.77489177489177485</v>
      </c>
    </row>
    <row r="26" spans="1:6" ht="26.4">
      <c r="A26" s="1352" t="s">
        <v>42</v>
      </c>
      <c r="B26" s="1353" t="s">
        <v>230</v>
      </c>
      <c r="C26" s="194">
        <v>403</v>
      </c>
      <c r="D26" s="194">
        <v>226</v>
      </c>
      <c r="E26" s="1354">
        <f t="shared" si="0"/>
        <v>0.56079404466501237</v>
      </c>
    </row>
    <row r="27" spans="1:6">
      <c r="A27" s="1352" t="s">
        <v>43</v>
      </c>
      <c r="B27" s="1353" t="s">
        <v>44</v>
      </c>
      <c r="C27" s="194">
        <v>414</v>
      </c>
      <c r="D27" s="194">
        <v>221</v>
      </c>
      <c r="E27" s="1354">
        <f t="shared" si="0"/>
        <v>0.53381642512077299</v>
      </c>
    </row>
    <row r="28" spans="1:6">
      <c r="A28" s="1352" t="s">
        <v>45</v>
      </c>
      <c r="B28" s="1353" t="s">
        <v>320</v>
      </c>
      <c r="C28" s="194">
        <v>175</v>
      </c>
      <c r="D28" s="194">
        <v>133</v>
      </c>
      <c r="E28" s="1354">
        <f t="shared" si="0"/>
        <v>0.76</v>
      </c>
    </row>
    <row r="29" spans="1:6" ht="26.4">
      <c r="A29" s="1352">
        <v>21</v>
      </c>
      <c r="B29" s="731" t="s">
        <v>231</v>
      </c>
      <c r="C29" s="194">
        <v>199</v>
      </c>
      <c r="D29" s="194">
        <v>132</v>
      </c>
      <c r="E29" s="1354">
        <f>D29/C29</f>
        <v>0.66331658291457285</v>
      </c>
      <c r="F29" s="1947"/>
    </row>
    <row r="30" spans="1:6" ht="26.4">
      <c r="A30" s="1352" t="s">
        <v>47</v>
      </c>
      <c r="B30" s="1353" t="s">
        <v>232</v>
      </c>
      <c r="C30" s="194">
        <v>426</v>
      </c>
      <c r="D30" s="194">
        <v>312</v>
      </c>
      <c r="E30" s="1354">
        <f t="shared" si="0"/>
        <v>0.73239436619718312</v>
      </c>
    </row>
    <row r="31" spans="1:6">
      <c r="A31" s="1352" t="s">
        <v>48</v>
      </c>
      <c r="B31" s="1353" t="s">
        <v>49</v>
      </c>
      <c r="C31" s="194">
        <v>182</v>
      </c>
      <c r="D31" s="194">
        <v>136</v>
      </c>
      <c r="E31" s="1354">
        <f t="shared" si="0"/>
        <v>0.74725274725274726</v>
      </c>
    </row>
    <row r="32" spans="1:6">
      <c r="A32" s="1352" t="s">
        <v>50</v>
      </c>
      <c r="B32" s="1353" t="s">
        <v>51</v>
      </c>
      <c r="C32" s="194">
        <v>159</v>
      </c>
      <c r="D32" s="194">
        <v>71</v>
      </c>
      <c r="E32" s="1354">
        <f t="shared" si="0"/>
        <v>0.44654088050314467</v>
      </c>
    </row>
    <row r="33" spans="1:5">
      <c r="A33" s="1352" t="s">
        <v>52</v>
      </c>
      <c r="B33" s="1353" t="s">
        <v>53</v>
      </c>
      <c r="C33" s="194">
        <v>253</v>
      </c>
      <c r="D33" s="194">
        <v>238</v>
      </c>
      <c r="E33" s="1354">
        <f t="shared" si="0"/>
        <v>0.94071146245059289</v>
      </c>
    </row>
    <row r="34" spans="1:5">
      <c r="A34" s="1352" t="s">
        <v>54</v>
      </c>
      <c r="B34" s="1353" t="s">
        <v>55</v>
      </c>
      <c r="C34" s="194">
        <v>388</v>
      </c>
      <c r="D34" s="194">
        <v>310</v>
      </c>
      <c r="E34" s="1354">
        <f t="shared" si="0"/>
        <v>0.7989690721649485</v>
      </c>
    </row>
    <row r="35" spans="1:5">
      <c r="A35" s="1352" t="s">
        <v>56</v>
      </c>
      <c r="B35" s="1353" t="s">
        <v>57</v>
      </c>
      <c r="C35" s="194">
        <v>625</v>
      </c>
      <c r="D35" s="194">
        <v>435</v>
      </c>
      <c r="E35" s="1354">
        <f t="shared" si="0"/>
        <v>0.69599999999999995</v>
      </c>
    </row>
    <row r="36" spans="1:5">
      <c r="A36" s="1352" t="s">
        <v>58</v>
      </c>
      <c r="B36" s="1353" t="s">
        <v>59</v>
      </c>
      <c r="C36" s="194">
        <v>362</v>
      </c>
      <c r="D36" s="194">
        <v>320</v>
      </c>
      <c r="E36" s="1354">
        <f t="shared" si="0"/>
        <v>0.88397790055248615</v>
      </c>
    </row>
    <row r="37" spans="1:5">
      <c r="A37" s="1352" t="s">
        <v>60</v>
      </c>
      <c r="B37" s="1353" t="s">
        <v>61</v>
      </c>
      <c r="C37" s="194">
        <v>162</v>
      </c>
      <c r="D37" s="194">
        <v>132</v>
      </c>
      <c r="E37" s="1354">
        <f t="shared" si="0"/>
        <v>0.81481481481481477</v>
      </c>
    </row>
    <row r="38" spans="1:5">
      <c r="A38" s="1352" t="s">
        <v>62</v>
      </c>
      <c r="B38" s="1353" t="s">
        <v>63</v>
      </c>
      <c r="C38" s="194">
        <v>213</v>
      </c>
      <c r="D38" s="194">
        <v>180</v>
      </c>
      <c r="E38" s="1354">
        <f t="shared" si="0"/>
        <v>0.84507042253521125</v>
      </c>
    </row>
    <row r="39" spans="1:5">
      <c r="A39" s="1352" t="s">
        <v>64</v>
      </c>
      <c r="B39" s="1353" t="s">
        <v>65</v>
      </c>
      <c r="C39" s="194">
        <v>307</v>
      </c>
      <c r="D39" s="194">
        <v>278</v>
      </c>
      <c r="E39" s="1354">
        <f t="shared" si="0"/>
        <v>0.90553745928338758</v>
      </c>
    </row>
    <row r="40" spans="1:5">
      <c r="A40" s="1352" t="s">
        <v>66</v>
      </c>
      <c r="B40" s="1353" t="s">
        <v>67</v>
      </c>
      <c r="C40" s="194">
        <v>258</v>
      </c>
      <c r="D40" s="194">
        <v>231</v>
      </c>
      <c r="E40" s="1354">
        <f t="shared" si="0"/>
        <v>0.89534883720930236</v>
      </c>
    </row>
    <row r="41" spans="1:5">
      <c r="A41" s="1352" t="s">
        <v>68</v>
      </c>
      <c r="B41" s="1353" t="s">
        <v>69</v>
      </c>
      <c r="C41" s="194">
        <v>280</v>
      </c>
      <c r="D41" s="194">
        <v>245</v>
      </c>
      <c r="E41" s="1354">
        <f t="shared" si="0"/>
        <v>0.875</v>
      </c>
    </row>
    <row r="42" spans="1:5">
      <c r="A42" s="1352" t="s">
        <v>70</v>
      </c>
      <c r="B42" s="1353" t="s">
        <v>71</v>
      </c>
      <c r="C42" s="194">
        <v>78</v>
      </c>
      <c r="D42" s="194">
        <v>72</v>
      </c>
      <c r="E42" s="1354">
        <f t="shared" si="0"/>
        <v>0.92307692307692313</v>
      </c>
    </row>
    <row r="43" spans="1:5">
      <c r="A43" s="1352" t="s">
        <v>72</v>
      </c>
      <c r="B43" s="1353" t="s">
        <v>73</v>
      </c>
      <c r="C43" s="194">
        <v>142</v>
      </c>
      <c r="D43" s="194">
        <v>133</v>
      </c>
      <c r="E43" s="1354">
        <f t="shared" si="0"/>
        <v>0.93661971830985913</v>
      </c>
    </row>
    <row r="44" spans="1:5">
      <c r="A44" s="1352" t="s">
        <v>74</v>
      </c>
      <c r="B44" s="1353" t="s">
        <v>75</v>
      </c>
      <c r="C44" s="194">
        <v>201</v>
      </c>
      <c r="D44" s="194">
        <v>181</v>
      </c>
      <c r="E44" s="1354">
        <f t="shared" si="0"/>
        <v>0.90049751243781095</v>
      </c>
    </row>
    <row r="45" spans="1:5">
      <c r="A45" s="1352" t="s">
        <v>76</v>
      </c>
      <c r="B45" s="1353" t="s">
        <v>77</v>
      </c>
      <c r="C45" s="194">
        <v>92</v>
      </c>
      <c r="D45" s="194">
        <v>85</v>
      </c>
      <c r="E45" s="1354">
        <f t="shared" si="0"/>
        <v>0.92391304347826086</v>
      </c>
    </row>
    <row r="46" spans="1:5">
      <c r="A46" s="1352" t="s">
        <v>78</v>
      </c>
      <c r="B46" s="1353" t="s">
        <v>79</v>
      </c>
      <c r="C46" s="194">
        <v>404</v>
      </c>
      <c r="D46" s="194">
        <v>272</v>
      </c>
      <c r="E46" s="1354">
        <f t="shared" si="0"/>
        <v>0.67326732673267331</v>
      </c>
    </row>
    <row r="47" spans="1:5">
      <c r="A47" s="1352" t="s">
        <v>80</v>
      </c>
      <c r="B47" s="1353" t="s">
        <v>81</v>
      </c>
      <c r="C47" s="194">
        <v>394</v>
      </c>
      <c r="D47" s="194">
        <v>227</v>
      </c>
      <c r="E47" s="1354">
        <f t="shared" si="0"/>
        <v>0.57614213197969544</v>
      </c>
    </row>
    <row r="48" spans="1:5">
      <c r="A48" s="1352" t="s">
        <v>82</v>
      </c>
      <c r="B48" s="1353" t="s">
        <v>83</v>
      </c>
      <c r="C48" s="194">
        <v>191</v>
      </c>
      <c r="D48" s="194">
        <v>155</v>
      </c>
      <c r="E48" s="1354">
        <f t="shared" si="0"/>
        <v>0.81151832460732987</v>
      </c>
    </row>
    <row r="49" spans="1:5">
      <c r="A49" s="1352" t="s">
        <v>84</v>
      </c>
      <c r="B49" s="1353" t="s">
        <v>516</v>
      </c>
      <c r="C49" s="194">
        <v>261</v>
      </c>
      <c r="D49" s="194">
        <v>156</v>
      </c>
      <c r="E49" s="1354">
        <f t="shared" si="0"/>
        <v>0.5977011494252874</v>
      </c>
    </row>
    <row r="50" spans="1:5">
      <c r="A50" s="1352" t="s">
        <v>85</v>
      </c>
      <c r="B50" s="1353" t="s">
        <v>86</v>
      </c>
      <c r="C50" s="194">
        <v>546</v>
      </c>
      <c r="D50" s="194">
        <v>443</v>
      </c>
      <c r="E50" s="1354">
        <f t="shared" si="0"/>
        <v>0.81135531135531136</v>
      </c>
    </row>
    <row r="51" spans="1:5">
      <c r="A51" s="1352" t="s">
        <v>87</v>
      </c>
      <c r="B51" s="1353" t="s">
        <v>88</v>
      </c>
      <c r="C51" s="194">
        <v>677</v>
      </c>
      <c r="D51" s="194">
        <v>492</v>
      </c>
      <c r="E51" s="1354">
        <f t="shared" si="0"/>
        <v>0.72673559822747413</v>
      </c>
    </row>
    <row r="52" spans="1:5">
      <c r="A52" s="1352" t="s">
        <v>89</v>
      </c>
      <c r="B52" s="1353" t="s">
        <v>90</v>
      </c>
      <c r="C52" s="194">
        <v>249</v>
      </c>
      <c r="D52" s="194">
        <v>206</v>
      </c>
      <c r="E52" s="1354">
        <f t="shared" si="0"/>
        <v>0.82730923694779113</v>
      </c>
    </row>
    <row r="53" spans="1:5">
      <c r="A53" s="1352" t="s">
        <v>91</v>
      </c>
      <c r="B53" s="1353" t="s">
        <v>92</v>
      </c>
      <c r="C53" s="194">
        <v>329</v>
      </c>
      <c r="D53" s="194">
        <v>212</v>
      </c>
      <c r="E53" s="1354">
        <f t="shared" si="0"/>
        <v>0.64437689969604861</v>
      </c>
    </row>
    <row r="54" spans="1:5">
      <c r="A54" s="1352" t="s">
        <v>93</v>
      </c>
      <c r="B54" s="1353" t="s">
        <v>94</v>
      </c>
      <c r="C54" s="194">
        <v>292</v>
      </c>
      <c r="D54" s="194">
        <v>255</v>
      </c>
      <c r="E54" s="1354">
        <f t="shared" si="0"/>
        <v>0.87328767123287676</v>
      </c>
    </row>
    <row r="55" spans="1:5">
      <c r="A55" s="1352" t="s">
        <v>95</v>
      </c>
      <c r="B55" s="1353" t="s">
        <v>96</v>
      </c>
      <c r="C55" s="194">
        <v>257</v>
      </c>
      <c r="D55" s="194">
        <v>193</v>
      </c>
      <c r="E55" s="1354">
        <f t="shared" si="0"/>
        <v>0.75097276264591439</v>
      </c>
    </row>
    <row r="56" spans="1:5">
      <c r="A56" s="1352" t="s">
        <v>97</v>
      </c>
      <c r="B56" s="1353" t="s">
        <v>98</v>
      </c>
      <c r="C56" s="194">
        <v>277</v>
      </c>
      <c r="D56" s="194">
        <v>125</v>
      </c>
      <c r="E56" s="1354">
        <f t="shared" si="0"/>
        <v>0.45126353790613716</v>
      </c>
    </row>
    <row r="57" spans="1:5">
      <c r="A57" s="1352" t="s">
        <v>99</v>
      </c>
      <c r="B57" s="1353" t="s">
        <v>100</v>
      </c>
      <c r="C57" s="194">
        <v>236</v>
      </c>
      <c r="D57" s="194">
        <v>69</v>
      </c>
      <c r="E57" s="1354">
        <f t="shared" si="0"/>
        <v>0.2923728813559322</v>
      </c>
    </row>
    <row r="58" spans="1:5">
      <c r="A58" s="1355" t="s">
        <v>142</v>
      </c>
      <c r="B58" s="1353" t="s">
        <v>117</v>
      </c>
      <c r="C58" s="194">
        <v>88</v>
      </c>
      <c r="D58" s="194">
        <v>75</v>
      </c>
      <c r="E58" s="1354">
        <f t="shared" si="0"/>
        <v>0.85227272727272729</v>
      </c>
    </row>
    <row r="59" spans="1:5">
      <c r="A59" s="1352" t="s">
        <v>101</v>
      </c>
      <c r="B59" s="1353" t="s">
        <v>102</v>
      </c>
      <c r="C59" s="194">
        <v>24</v>
      </c>
      <c r="D59" s="194">
        <v>17</v>
      </c>
      <c r="E59" s="1354">
        <f t="shared" si="0"/>
        <v>0.70833333333333337</v>
      </c>
    </row>
    <row r="60" spans="1:5">
      <c r="A60" s="1352" t="s">
        <v>103</v>
      </c>
      <c r="B60" s="1353" t="s">
        <v>104</v>
      </c>
      <c r="C60" s="194">
        <v>139</v>
      </c>
      <c r="D60" s="194">
        <v>81</v>
      </c>
      <c r="E60" s="1354">
        <f t="shared" si="0"/>
        <v>0.58273381294964033</v>
      </c>
    </row>
    <row r="61" spans="1:5">
      <c r="A61" s="1355" t="s">
        <v>578</v>
      </c>
      <c r="B61" s="1353" t="s">
        <v>200</v>
      </c>
      <c r="C61" s="194">
        <v>13</v>
      </c>
      <c r="D61" s="194">
        <v>5</v>
      </c>
      <c r="E61" s="1354">
        <f t="shared" si="0"/>
        <v>0.38461538461538464</v>
      </c>
    </row>
    <row r="62" spans="1:5">
      <c r="A62" s="1355" t="s">
        <v>202</v>
      </c>
      <c r="B62" s="1353" t="s">
        <v>201</v>
      </c>
      <c r="C62" s="194">
        <v>4</v>
      </c>
      <c r="D62" s="194">
        <v>4</v>
      </c>
      <c r="E62" s="1354">
        <f t="shared" si="0"/>
        <v>1</v>
      </c>
    </row>
    <row r="63" spans="1:5">
      <c r="A63" s="1356" t="s">
        <v>517</v>
      </c>
      <c r="B63" s="1357" t="s">
        <v>518</v>
      </c>
      <c r="C63" s="194">
        <v>103</v>
      </c>
      <c r="D63" s="194">
        <v>78</v>
      </c>
      <c r="E63" s="1354">
        <f t="shared" si="0"/>
        <v>0.75728155339805825</v>
      </c>
    </row>
    <row r="64" spans="1:5">
      <c r="A64" s="1356" t="s">
        <v>519</v>
      </c>
      <c r="B64" s="1358" t="s">
        <v>520</v>
      </c>
      <c r="C64" s="194">
        <v>119</v>
      </c>
      <c r="D64" s="194">
        <v>104</v>
      </c>
      <c r="E64" s="1354">
        <f t="shared" si="0"/>
        <v>0.87394957983193278</v>
      </c>
    </row>
    <row r="65" spans="1:5" ht="13.8" thickBot="1">
      <c r="A65" s="197" t="s">
        <v>521</v>
      </c>
      <c r="B65" s="198" t="s">
        <v>522</v>
      </c>
      <c r="C65" s="199">
        <v>179</v>
      </c>
      <c r="D65" s="199">
        <v>138</v>
      </c>
      <c r="E65" s="1359">
        <f t="shared" si="0"/>
        <v>0.77094972067039103</v>
      </c>
    </row>
    <row r="66" spans="1:5" ht="14.4" thickBot="1">
      <c r="A66" s="1360"/>
      <c r="B66" s="1361"/>
      <c r="C66" s="1362"/>
      <c r="D66" s="1363"/>
      <c r="E66" s="1364"/>
    </row>
    <row r="67" spans="1:5" ht="14.4" thickBot="1">
      <c r="A67" s="1365"/>
      <c r="B67" s="1366" t="s">
        <v>105</v>
      </c>
      <c r="C67" s="1367">
        <f>SUM(C9:C65)</f>
        <v>13242</v>
      </c>
      <c r="D67" s="1368">
        <f>SUM(D9:D65)</f>
        <v>9157</v>
      </c>
      <c r="E67" s="1369">
        <f>$D$67/$C$67</f>
        <v>0.69151185621507327</v>
      </c>
    </row>
    <row r="68" spans="1:5">
      <c r="A68" s="1370" t="s">
        <v>938</v>
      </c>
      <c r="B68" s="1371"/>
      <c r="C68" s="1372"/>
      <c r="D68" s="1372"/>
      <c r="E68" s="1372"/>
    </row>
    <row r="69" spans="1:5">
      <c r="A69" s="1370" t="s">
        <v>515</v>
      </c>
      <c r="B69" s="1371"/>
      <c r="C69" s="1371"/>
      <c r="D69" s="1371"/>
      <c r="E69" s="1371"/>
    </row>
    <row r="70" spans="1:5">
      <c r="A70" s="1370" t="s">
        <v>514</v>
      </c>
      <c r="B70" s="1371"/>
      <c r="C70" s="1371"/>
      <c r="D70" s="1371"/>
      <c r="E70" s="1371"/>
    </row>
  </sheetData>
  <mergeCells count="3">
    <mergeCell ref="A2:E2"/>
    <mergeCell ref="A4:E4"/>
    <mergeCell ref="A5:E5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66"/>
  </sheetPr>
  <dimension ref="A1:P74"/>
  <sheetViews>
    <sheetView topLeftCell="A20" zoomScale="85" zoomScaleNormal="85" workbookViewId="0">
      <selection activeCell="L18" sqref="L18"/>
    </sheetView>
  </sheetViews>
  <sheetFormatPr baseColWidth="10" defaultColWidth="11.44140625" defaultRowHeight="13.2"/>
  <cols>
    <col min="1" max="9" width="11.44140625" style="1263"/>
    <col min="10" max="10" width="12.109375" style="1263" customWidth="1"/>
    <col min="11" max="16384" width="11.44140625" style="1263"/>
  </cols>
  <sheetData>
    <row r="1" spans="1:16">
      <c r="A1" s="110"/>
      <c r="B1" s="110"/>
      <c r="C1" s="111"/>
      <c r="D1" s="111"/>
      <c r="E1" s="111"/>
      <c r="F1" s="111"/>
      <c r="G1" s="110"/>
      <c r="H1" s="110"/>
      <c r="I1" s="110"/>
      <c r="J1" s="110"/>
      <c r="K1" s="110"/>
    </row>
    <row r="2" spans="1:16" ht="15.6">
      <c r="A2" s="2165" t="s">
        <v>735</v>
      </c>
      <c r="B2" s="2165"/>
      <c r="C2" s="2165"/>
      <c r="D2" s="2165"/>
      <c r="E2" s="2165"/>
      <c r="F2" s="2165"/>
      <c r="G2" s="2165"/>
      <c r="H2" s="2165"/>
      <c r="I2" s="2165"/>
      <c r="J2" s="2165"/>
      <c r="K2" s="2165"/>
    </row>
    <row r="3" spans="1:16">
      <c r="A3" s="110"/>
      <c r="B3" s="110"/>
      <c r="C3" s="111"/>
      <c r="D3" s="111"/>
      <c r="E3" s="111"/>
      <c r="F3" s="111"/>
      <c r="G3" s="110"/>
      <c r="H3" s="110"/>
      <c r="I3" s="110"/>
      <c r="J3" s="110"/>
      <c r="K3" s="110"/>
    </row>
    <row r="4" spans="1:16" ht="17.399999999999999">
      <c r="A4" s="2148" t="s">
        <v>252</v>
      </c>
      <c r="B4" s="2148"/>
      <c r="C4" s="2148"/>
      <c r="D4" s="2148"/>
      <c r="E4" s="2148"/>
      <c r="F4" s="2148"/>
      <c r="G4" s="2148"/>
      <c r="H4" s="2148"/>
      <c r="I4" s="2148"/>
      <c r="J4" s="2148"/>
      <c r="K4" s="2148"/>
    </row>
    <row r="5" spans="1:16" ht="17.399999999999999">
      <c r="A5" s="2148" t="s">
        <v>1007</v>
      </c>
      <c r="B5" s="2148"/>
      <c r="C5" s="2148"/>
      <c r="D5" s="2148"/>
      <c r="E5" s="2148"/>
      <c r="F5" s="2148"/>
      <c r="G5" s="2148"/>
      <c r="H5" s="2148"/>
      <c r="I5" s="2148"/>
      <c r="J5" s="2148"/>
      <c r="K5" s="2148"/>
    </row>
    <row r="6" spans="1:16">
      <c r="A6" s="110"/>
      <c r="B6" s="110"/>
      <c r="C6" s="111"/>
      <c r="D6" s="111"/>
      <c r="E6" s="111"/>
      <c r="F6" s="111"/>
      <c r="G6" s="110"/>
      <c r="H6" s="110"/>
      <c r="I6" s="110"/>
      <c r="J6" s="110"/>
      <c r="K6" s="110"/>
      <c r="P6" s="1373"/>
    </row>
    <row r="7" spans="1:16" ht="13.8" thickBot="1">
      <c r="A7" s="110"/>
      <c r="B7" s="110"/>
      <c r="C7" s="111"/>
      <c r="D7" s="111"/>
      <c r="E7" s="111"/>
      <c r="F7" s="111"/>
      <c r="G7" s="110"/>
      <c r="H7" s="110"/>
      <c r="I7" s="110"/>
      <c r="J7" s="110"/>
      <c r="K7" s="110"/>
      <c r="P7" s="1373"/>
    </row>
    <row r="8" spans="1:16" ht="13.8" thickBot="1">
      <c r="A8" s="110"/>
      <c r="B8" s="110"/>
      <c r="C8" s="202"/>
      <c r="D8" s="2149" t="s">
        <v>143</v>
      </c>
      <c r="E8" s="2150"/>
      <c r="F8" s="2150"/>
      <c r="G8" s="2150"/>
      <c r="H8" s="2150"/>
      <c r="I8" s="2150"/>
      <c r="J8" s="2150"/>
      <c r="K8" s="2151"/>
      <c r="P8" s="1373"/>
    </row>
    <row r="9" spans="1:16" ht="12.75" customHeight="1">
      <c r="A9" s="110"/>
      <c r="B9" s="110"/>
      <c r="C9" s="1870" t="s">
        <v>216</v>
      </c>
      <c r="D9" s="1872" t="s">
        <v>119</v>
      </c>
      <c r="E9" s="1873"/>
      <c r="F9" s="1873"/>
      <c r="G9" s="1868" t="s">
        <v>254</v>
      </c>
      <c r="H9" s="1869"/>
      <c r="I9" s="1869"/>
      <c r="J9" s="1874" t="s">
        <v>709</v>
      </c>
      <c r="K9" s="1875" t="s">
        <v>710</v>
      </c>
      <c r="P9" s="1373"/>
    </row>
    <row r="10" spans="1:16">
      <c r="A10" s="110"/>
      <c r="B10" s="110"/>
      <c r="C10" s="1871"/>
      <c r="D10" s="203" t="s">
        <v>154</v>
      </c>
      <c r="E10" s="204" t="s">
        <v>153</v>
      </c>
      <c r="F10" s="203" t="s">
        <v>155</v>
      </c>
      <c r="G10" s="203" t="s">
        <v>154</v>
      </c>
      <c r="H10" s="203" t="s">
        <v>153</v>
      </c>
      <c r="I10" s="1374" t="s">
        <v>155</v>
      </c>
      <c r="J10" s="1874"/>
      <c r="K10" s="1876"/>
      <c r="P10" s="1373"/>
    </row>
    <row r="11" spans="1:16">
      <c r="A11" s="110"/>
      <c r="B11" s="110"/>
      <c r="C11" s="211" t="s">
        <v>9</v>
      </c>
      <c r="D11" s="212">
        <v>122</v>
      </c>
      <c r="E11" s="212">
        <v>100</v>
      </c>
      <c r="F11" s="478">
        <v>222</v>
      </c>
      <c r="G11" s="212">
        <v>43</v>
      </c>
      <c r="H11" s="212">
        <v>25</v>
      </c>
      <c r="I11" s="1375">
        <v>68</v>
      </c>
      <c r="J11" s="1376">
        <v>0.31455399061032863</v>
      </c>
      <c r="K11" s="1377">
        <v>0.55223880597014929</v>
      </c>
      <c r="P11" s="1373"/>
    </row>
    <row r="12" spans="1:16">
      <c r="A12" s="110"/>
      <c r="B12" s="110"/>
      <c r="C12" s="213" t="s">
        <v>11</v>
      </c>
      <c r="D12" s="206">
        <v>104</v>
      </c>
      <c r="E12" s="206">
        <v>124</v>
      </c>
      <c r="F12" s="479">
        <v>228</v>
      </c>
      <c r="G12" s="206">
        <v>24</v>
      </c>
      <c r="H12" s="206">
        <v>29</v>
      </c>
      <c r="I12" s="1378">
        <v>53</v>
      </c>
      <c r="J12" s="1379">
        <v>0.21698113207547171</v>
      </c>
      <c r="K12" s="1380">
        <v>0.54347826086956519</v>
      </c>
      <c r="P12" s="1373"/>
    </row>
    <row r="13" spans="1:16">
      <c r="A13" s="110"/>
      <c r="B13" s="110"/>
      <c r="C13" s="213" t="s">
        <v>13</v>
      </c>
      <c r="D13" s="206">
        <v>19</v>
      </c>
      <c r="E13" s="206">
        <v>26</v>
      </c>
      <c r="F13" s="479">
        <v>45</v>
      </c>
      <c r="G13" s="206">
        <v>6</v>
      </c>
      <c r="H13" s="206">
        <v>7</v>
      </c>
      <c r="I13" s="1378">
        <v>13</v>
      </c>
      <c r="J13" s="1379">
        <v>0.44897959183673469</v>
      </c>
      <c r="K13" s="1380">
        <v>0.27272727272727271</v>
      </c>
      <c r="P13" s="1373"/>
    </row>
    <row r="14" spans="1:16">
      <c r="A14" s="110"/>
      <c r="B14" s="110"/>
      <c r="C14" s="213" t="s">
        <v>15</v>
      </c>
      <c r="D14" s="206">
        <v>112</v>
      </c>
      <c r="E14" s="206">
        <v>130</v>
      </c>
      <c r="F14" s="479">
        <v>242</v>
      </c>
      <c r="G14" s="206">
        <v>48</v>
      </c>
      <c r="H14" s="206">
        <v>54</v>
      </c>
      <c r="I14" s="1378">
        <v>102</v>
      </c>
      <c r="J14" s="1379">
        <v>0.39525691699604742</v>
      </c>
      <c r="K14" s="1380">
        <v>0.42</v>
      </c>
      <c r="P14" s="1373"/>
    </row>
    <row r="15" spans="1:16">
      <c r="A15" s="110"/>
      <c r="B15" s="110"/>
      <c r="C15" s="213" t="s">
        <v>17</v>
      </c>
      <c r="D15" s="206">
        <v>118</v>
      </c>
      <c r="E15" s="206">
        <v>191</v>
      </c>
      <c r="F15" s="479">
        <v>309</v>
      </c>
      <c r="G15" s="206">
        <v>71</v>
      </c>
      <c r="H15" s="206">
        <v>114</v>
      </c>
      <c r="I15" s="1378">
        <v>185</v>
      </c>
      <c r="J15" s="1379">
        <v>0.52531645569620256</v>
      </c>
      <c r="K15" s="1380">
        <v>0.36746987951807231</v>
      </c>
      <c r="P15" s="1373"/>
    </row>
    <row r="16" spans="1:16">
      <c r="A16" s="110"/>
      <c r="B16" s="110"/>
      <c r="C16" s="214" t="s">
        <v>19</v>
      </c>
      <c r="D16" s="207">
        <v>190</v>
      </c>
      <c r="E16" s="207">
        <v>160</v>
      </c>
      <c r="F16" s="1381">
        <v>350</v>
      </c>
      <c r="G16" s="208">
        <v>109</v>
      </c>
      <c r="H16" s="208">
        <v>86</v>
      </c>
      <c r="I16" s="1382">
        <v>195</v>
      </c>
      <c r="J16" s="1383">
        <v>0.54293628808864269</v>
      </c>
      <c r="K16" s="1384">
        <v>0.5357142857142857</v>
      </c>
      <c r="P16" s="1373"/>
    </row>
    <row r="17" spans="1:16">
      <c r="A17" s="110"/>
      <c r="B17" s="110"/>
      <c r="C17" s="215" t="s">
        <v>193</v>
      </c>
      <c r="D17" s="209">
        <v>665</v>
      </c>
      <c r="E17" s="209">
        <v>731</v>
      </c>
      <c r="F17" s="209">
        <v>1396</v>
      </c>
      <c r="G17" s="209">
        <v>301</v>
      </c>
      <c r="H17" s="209">
        <v>315</v>
      </c>
      <c r="I17" s="1385">
        <v>616</v>
      </c>
      <c r="J17" s="1386">
        <v>0.4252136752136752</v>
      </c>
      <c r="K17" s="1386">
        <v>0.46231155778894473</v>
      </c>
      <c r="P17" s="1373"/>
    </row>
    <row r="18" spans="1:16">
      <c r="A18" s="110"/>
      <c r="B18" s="110"/>
      <c r="C18" s="216" t="s">
        <v>21</v>
      </c>
      <c r="D18" s="212">
        <v>191</v>
      </c>
      <c r="E18" s="212">
        <v>82</v>
      </c>
      <c r="F18" s="480">
        <v>273</v>
      </c>
      <c r="G18" s="205">
        <v>130</v>
      </c>
      <c r="H18" s="205">
        <v>52</v>
      </c>
      <c r="I18" s="1387">
        <v>182</v>
      </c>
      <c r="J18" s="1388">
        <v>0.6558441558441559</v>
      </c>
      <c r="K18" s="1389">
        <v>0.73267326732673266</v>
      </c>
      <c r="P18" s="1373"/>
    </row>
    <row r="19" spans="1:16">
      <c r="A19" s="110"/>
      <c r="B19" s="110"/>
      <c r="C19" s="213" t="s">
        <v>23</v>
      </c>
      <c r="D19" s="206">
        <v>34</v>
      </c>
      <c r="E19" s="206">
        <v>27</v>
      </c>
      <c r="F19" s="480">
        <v>61</v>
      </c>
      <c r="G19" s="206">
        <v>26</v>
      </c>
      <c r="H19" s="206">
        <v>19</v>
      </c>
      <c r="I19" s="1378">
        <v>45</v>
      </c>
      <c r="J19" s="1379">
        <v>0.78947368421052633</v>
      </c>
      <c r="K19" s="1380">
        <v>0.73333333333333328</v>
      </c>
      <c r="P19" s="1373"/>
    </row>
    <row r="20" spans="1:16">
      <c r="A20" s="110"/>
      <c r="B20" s="110"/>
      <c r="C20" s="213" t="s">
        <v>25</v>
      </c>
      <c r="D20" s="206">
        <v>159</v>
      </c>
      <c r="E20" s="206">
        <v>77</v>
      </c>
      <c r="F20" s="480">
        <v>236</v>
      </c>
      <c r="G20" s="206">
        <v>90</v>
      </c>
      <c r="H20" s="206">
        <v>56</v>
      </c>
      <c r="I20" s="1378">
        <v>146</v>
      </c>
      <c r="J20" s="1379">
        <v>0.57641921397379914</v>
      </c>
      <c r="K20" s="1380">
        <v>0.6742424242424242</v>
      </c>
      <c r="P20" s="1373"/>
    </row>
    <row r="21" spans="1:16">
      <c r="A21" s="110"/>
      <c r="B21" s="110"/>
      <c r="C21" s="213" t="s">
        <v>27</v>
      </c>
      <c r="D21" s="206">
        <v>62</v>
      </c>
      <c r="E21" s="206">
        <v>37</v>
      </c>
      <c r="F21" s="480">
        <v>99</v>
      </c>
      <c r="G21" s="206">
        <v>37</v>
      </c>
      <c r="H21" s="206">
        <v>22</v>
      </c>
      <c r="I21" s="1378">
        <v>59</v>
      </c>
      <c r="J21" s="1379">
        <v>0.6470588235294118</v>
      </c>
      <c r="K21" s="1380">
        <v>0.69696969696969702</v>
      </c>
      <c r="P21" s="1373"/>
    </row>
    <row r="22" spans="1:16">
      <c r="A22" s="110"/>
      <c r="B22" s="110"/>
      <c r="C22" s="213" t="s">
        <v>29</v>
      </c>
      <c r="D22" s="206">
        <v>135</v>
      </c>
      <c r="E22" s="206">
        <v>56</v>
      </c>
      <c r="F22" s="480">
        <v>191</v>
      </c>
      <c r="G22" s="206">
        <v>93</v>
      </c>
      <c r="H22" s="206">
        <v>36</v>
      </c>
      <c r="I22" s="1378">
        <v>129</v>
      </c>
      <c r="J22" s="1379">
        <v>0.78395061728395066</v>
      </c>
      <c r="K22" s="1380">
        <v>0.68503937007874016</v>
      </c>
      <c r="P22" s="1373"/>
    </row>
    <row r="23" spans="1:16">
      <c r="A23" s="110"/>
      <c r="B23" s="110"/>
      <c r="C23" s="213" t="s">
        <v>31</v>
      </c>
      <c r="D23" s="206">
        <v>31</v>
      </c>
      <c r="E23" s="206">
        <v>21</v>
      </c>
      <c r="F23" s="480">
        <v>52</v>
      </c>
      <c r="G23" s="206">
        <v>25</v>
      </c>
      <c r="H23" s="206">
        <v>17</v>
      </c>
      <c r="I23" s="1378">
        <v>42</v>
      </c>
      <c r="J23" s="1379">
        <v>0.66</v>
      </c>
      <c r="K23" s="1380">
        <v>0.66666666666666663</v>
      </c>
      <c r="P23" s="1373"/>
    </row>
    <row r="24" spans="1:16">
      <c r="A24" s="110"/>
      <c r="B24" s="110"/>
      <c r="C24" s="213" t="s">
        <v>33</v>
      </c>
      <c r="D24" s="206">
        <v>23</v>
      </c>
      <c r="E24" s="206">
        <v>9</v>
      </c>
      <c r="F24" s="480">
        <v>32</v>
      </c>
      <c r="G24" s="206">
        <v>15</v>
      </c>
      <c r="H24" s="206">
        <v>7</v>
      </c>
      <c r="I24" s="1378">
        <v>22</v>
      </c>
      <c r="J24" s="1379">
        <v>0.7931034482758621</v>
      </c>
      <c r="K24" s="1380">
        <v>0.78260869565217395</v>
      </c>
      <c r="P24" s="1373"/>
    </row>
    <row r="25" spans="1:16">
      <c r="A25" s="110"/>
      <c r="B25" s="110"/>
      <c r="C25" s="213" t="s">
        <v>35</v>
      </c>
      <c r="D25" s="206">
        <v>114</v>
      </c>
      <c r="E25" s="206">
        <v>53</v>
      </c>
      <c r="F25" s="480">
        <v>167</v>
      </c>
      <c r="G25" s="206">
        <v>67</v>
      </c>
      <c r="H25" s="206">
        <v>33</v>
      </c>
      <c r="I25" s="1378">
        <v>100</v>
      </c>
      <c r="J25" s="1379">
        <v>0.66315789473684206</v>
      </c>
      <c r="K25" s="1380">
        <v>0.72222222222222221</v>
      </c>
      <c r="P25" s="1373"/>
    </row>
    <row r="26" spans="1:16">
      <c r="A26" s="110"/>
      <c r="B26" s="110"/>
      <c r="C26" s="213" t="s">
        <v>37</v>
      </c>
      <c r="D26" s="206">
        <v>75</v>
      </c>
      <c r="E26" s="206">
        <v>55</v>
      </c>
      <c r="F26" s="480">
        <v>130</v>
      </c>
      <c r="G26" s="206">
        <v>52</v>
      </c>
      <c r="H26" s="206">
        <v>44</v>
      </c>
      <c r="I26" s="1378">
        <v>96</v>
      </c>
      <c r="J26" s="1379">
        <v>0.75187969924812026</v>
      </c>
      <c r="K26" s="1380">
        <v>0.55000000000000004</v>
      </c>
      <c r="P26" s="1373"/>
    </row>
    <row r="27" spans="1:16">
      <c r="A27" s="110"/>
      <c r="B27" s="110"/>
      <c r="C27" s="213" t="s">
        <v>38</v>
      </c>
      <c r="D27" s="206">
        <v>168</v>
      </c>
      <c r="E27" s="206">
        <v>105</v>
      </c>
      <c r="F27" s="480">
        <v>273</v>
      </c>
      <c r="G27" s="206">
        <v>101</v>
      </c>
      <c r="H27" s="206">
        <v>62</v>
      </c>
      <c r="I27" s="1378">
        <v>163</v>
      </c>
      <c r="J27" s="1379">
        <v>0.63888888888888884</v>
      </c>
      <c r="K27" s="1380">
        <v>0.60869565217391308</v>
      </c>
      <c r="P27" s="1373"/>
    </row>
    <row r="28" spans="1:16">
      <c r="A28" s="110"/>
      <c r="B28" s="110"/>
      <c r="C28" s="213" t="s">
        <v>40</v>
      </c>
      <c r="D28" s="206">
        <v>85</v>
      </c>
      <c r="E28" s="206">
        <v>146</v>
      </c>
      <c r="F28" s="480">
        <v>231</v>
      </c>
      <c r="G28" s="206">
        <v>65</v>
      </c>
      <c r="H28" s="206">
        <v>114</v>
      </c>
      <c r="I28" s="1378">
        <v>179</v>
      </c>
      <c r="J28" s="1379">
        <v>0.71982758620689657</v>
      </c>
      <c r="K28" s="1380">
        <v>0.3592814371257485</v>
      </c>
      <c r="P28" s="1373"/>
    </row>
    <row r="29" spans="1:16">
      <c r="A29" s="1921"/>
      <c r="B29" s="110"/>
      <c r="C29" s="213" t="s">
        <v>42</v>
      </c>
      <c r="D29" s="206">
        <v>247</v>
      </c>
      <c r="E29" s="206">
        <v>156</v>
      </c>
      <c r="F29" s="480">
        <v>403</v>
      </c>
      <c r="G29" s="206">
        <v>137</v>
      </c>
      <c r="H29" s="206">
        <v>89</v>
      </c>
      <c r="I29" s="1378">
        <v>226</v>
      </c>
      <c r="J29" s="1379">
        <v>0.49470899470899471</v>
      </c>
      <c r="K29" s="1380">
        <v>0.5401069518716578</v>
      </c>
      <c r="P29" s="1373"/>
    </row>
    <row r="30" spans="1:16">
      <c r="A30" s="110"/>
      <c r="B30" s="110"/>
      <c r="C30" s="213" t="s">
        <v>43</v>
      </c>
      <c r="D30" s="206">
        <v>220</v>
      </c>
      <c r="E30" s="206">
        <v>194</v>
      </c>
      <c r="F30" s="480">
        <v>414</v>
      </c>
      <c r="G30" s="206">
        <v>119</v>
      </c>
      <c r="H30" s="206">
        <v>102</v>
      </c>
      <c r="I30" s="1378">
        <v>221</v>
      </c>
      <c r="J30" s="1379">
        <v>0.50341685649202739</v>
      </c>
      <c r="K30" s="1380">
        <v>0.57466063348416285</v>
      </c>
      <c r="P30" s="1373"/>
    </row>
    <row r="31" spans="1:16">
      <c r="A31" s="110"/>
      <c r="B31" s="110"/>
      <c r="C31" s="213" t="s">
        <v>45</v>
      </c>
      <c r="D31" s="206">
        <v>113</v>
      </c>
      <c r="E31" s="206">
        <v>62</v>
      </c>
      <c r="F31" s="480">
        <v>175</v>
      </c>
      <c r="G31" s="206">
        <v>93</v>
      </c>
      <c r="H31" s="206">
        <v>40</v>
      </c>
      <c r="I31" s="1378">
        <v>133</v>
      </c>
      <c r="J31" s="1379">
        <v>0.6045454545454545</v>
      </c>
      <c r="K31" s="1380">
        <v>0.60150375939849621</v>
      </c>
      <c r="P31" s="1373"/>
    </row>
    <row r="32" spans="1:16">
      <c r="A32" s="110"/>
      <c r="B32" s="110"/>
      <c r="C32" s="213" t="s">
        <v>46</v>
      </c>
      <c r="D32" s="206">
        <v>113</v>
      </c>
      <c r="E32" s="206">
        <v>86</v>
      </c>
      <c r="F32" s="480">
        <v>199</v>
      </c>
      <c r="G32" s="206">
        <v>72</v>
      </c>
      <c r="H32" s="206">
        <v>60</v>
      </c>
      <c r="I32" s="1378">
        <v>132</v>
      </c>
      <c r="J32" s="1379">
        <v>0.68367346938775508</v>
      </c>
      <c r="K32" s="1380">
        <v>0.55970149253731338</v>
      </c>
      <c r="P32" s="1373"/>
    </row>
    <row r="33" spans="1:16">
      <c r="A33" s="110"/>
      <c r="B33" s="110"/>
      <c r="C33" s="213" t="s">
        <v>47</v>
      </c>
      <c r="D33" s="206">
        <v>223</v>
      </c>
      <c r="E33" s="206">
        <v>203</v>
      </c>
      <c r="F33" s="480">
        <v>426</v>
      </c>
      <c r="G33" s="206">
        <v>157</v>
      </c>
      <c r="H33" s="206">
        <v>155</v>
      </c>
      <c r="I33" s="1378">
        <v>312</v>
      </c>
      <c r="J33" s="1379">
        <v>0.77184466019417475</v>
      </c>
      <c r="K33" s="1380">
        <v>0.44968553459119498</v>
      </c>
      <c r="P33" s="1373"/>
    </row>
    <row r="34" spans="1:16">
      <c r="A34" s="110"/>
      <c r="B34" s="110"/>
      <c r="C34" s="213" t="s">
        <v>48</v>
      </c>
      <c r="D34" s="206">
        <v>83</v>
      </c>
      <c r="E34" s="206">
        <v>99</v>
      </c>
      <c r="F34" s="480">
        <v>182</v>
      </c>
      <c r="G34" s="206">
        <v>69</v>
      </c>
      <c r="H34" s="206">
        <v>67</v>
      </c>
      <c r="I34" s="1378">
        <v>136</v>
      </c>
      <c r="J34" s="1379">
        <v>0.67452830188679247</v>
      </c>
      <c r="K34" s="1380">
        <v>0.5174825174825175</v>
      </c>
      <c r="P34" s="1373"/>
    </row>
    <row r="35" spans="1:16">
      <c r="A35" s="110"/>
      <c r="B35" s="110"/>
      <c r="C35" s="213" t="s">
        <v>50</v>
      </c>
      <c r="D35" s="206">
        <v>89</v>
      </c>
      <c r="E35" s="206">
        <v>70</v>
      </c>
      <c r="F35" s="480">
        <v>159</v>
      </c>
      <c r="G35" s="206">
        <v>46</v>
      </c>
      <c r="H35" s="206">
        <v>25</v>
      </c>
      <c r="I35" s="1378">
        <v>71</v>
      </c>
      <c r="J35" s="1379">
        <v>0.45833333333333331</v>
      </c>
      <c r="K35" s="1380">
        <v>0.5</v>
      </c>
      <c r="P35" s="1373"/>
    </row>
    <row r="36" spans="1:16">
      <c r="A36" s="110"/>
      <c r="B36" s="110"/>
      <c r="C36" s="213" t="s">
        <v>97</v>
      </c>
      <c r="D36" s="206">
        <v>163</v>
      </c>
      <c r="E36" s="206">
        <v>114</v>
      </c>
      <c r="F36" s="480">
        <v>277</v>
      </c>
      <c r="G36" s="206">
        <v>68</v>
      </c>
      <c r="H36" s="206">
        <v>57</v>
      </c>
      <c r="I36" s="1378">
        <v>125</v>
      </c>
      <c r="J36" s="1379">
        <v>0.43109540636042404</v>
      </c>
      <c r="K36" s="1380">
        <v>0.58196721311475408</v>
      </c>
      <c r="P36" s="1373"/>
    </row>
    <row r="37" spans="1:16">
      <c r="A37" s="110"/>
      <c r="B37" s="110"/>
      <c r="C37" s="213" t="s">
        <v>99</v>
      </c>
      <c r="D37" s="206">
        <v>127</v>
      </c>
      <c r="E37" s="206">
        <v>109</v>
      </c>
      <c r="F37" s="480">
        <v>236</v>
      </c>
      <c r="G37" s="206">
        <v>42</v>
      </c>
      <c r="H37" s="206">
        <v>27</v>
      </c>
      <c r="I37" s="1378">
        <v>69</v>
      </c>
      <c r="J37" s="1379">
        <v>0.32945736434108525</v>
      </c>
      <c r="K37" s="1380">
        <v>0.56470588235294117</v>
      </c>
      <c r="P37" s="1373"/>
    </row>
    <row r="38" spans="1:16">
      <c r="A38" s="110"/>
      <c r="B38" s="110"/>
      <c r="C38" s="213" t="s">
        <v>142</v>
      </c>
      <c r="D38" s="206">
        <v>29</v>
      </c>
      <c r="E38" s="206">
        <v>59</v>
      </c>
      <c r="F38" s="480">
        <v>88</v>
      </c>
      <c r="G38" s="206">
        <v>24</v>
      </c>
      <c r="H38" s="206">
        <v>51</v>
      </c>
      <c r="I38" s="1378">
        <v>75</v>
      </c>
      <c r="J38" s="1379">
        <v>0.84615384615384615</v>
      </c>
      <c r="K38" s="1380">
        <v>0.36363636363636365</v>
      </c>
      <c r="P38" s="1373"/>
    </row>
    <row r="39" spans="1:16">
      <c r="A39" s="110"/>
      <c r="B39" s="110"/>
      <c r="C39" s="213" t="s">
        <v>101</v>
      </c>
      <c r="D39" s="206">
        <v>8</v>
      </c>
      <c r="E39" s="206">
        <v>16</v>
      </c>
      <c r="F39" s="480">
        <v>24</v>
      </c>
      <c r="G39" s="206">
        <v>3</v>
      </c>
      <c r="H39" s="206">
        <v>14</v>
      </c>
      <c r="I39" s="1378">
        <v>17</v>
      </c>
      <c r="J39" s="1379">
        <v>0.76</v>
      </c>
      <c r="K39" s="1380">
        <v>0.36842105263157893</v>
      </c>
      <c r="P39" s="1373"/>
    </row>
    <row r="40" spans="1:16">
      <c r="A40" s="110"/>
      <c r="B40" s="110"/>
      <c r="C40" s="213" t="s">
        <v>103</v>
      </c>
      <c r="D40" s="206">
        <v>52</v>
      </c>
      <c r="E40" s="206">
        <v>87</v>
      </c>
      <c r="F40" s="480">
        <v>139</v>
      </c>
      <c r="G40" s="206">
        <v>29</v>
      </c>
      <c r="H40" s="206">
        <v>52</v>
      </c>
      <c r="I40" s="1378">
        <v>81</v>
      </c>
      <c r="J40" s="1379">
        <v>0.6095890410958904</v>
      </c>
      <c r="K40" s="1380">
        <v>0.2696629213483146</v>
      </c>
      <c r="P40" s="1373"/>
    </row>
    <row r="41" spans="1:16">
      <c r="A41" s="110"/>
      <c r="B41" s="110"/>
      <c r="C41" s="1390" t="s">
        <v>578</v>
      </c>
      <c r="D41" s="206">
        <v>4</v>
      </c>
      <c r="E41" s="206">
        <v>9</v>
      </c>
      <c r="F41" s="480">
        <v>13</v>
      </c>
      <c r="G41" s="208"/>
      <c r="H41" s="208">
        <v>5</v>
      </c>
      <c r="I41" s="1378">
        <v>5</v>
      </c>
      <c r="J41" s="1379">
        <v>0.6095890410958904</v>
      </c>
      <c r="K41" s="1380">
        <v>0.2696629213483146</v>
      </c>
      <c r="P41" s="1373"/>
    </row>
    <row r="42" spans="1:16">
      <c r="A42" s="110"/>
      <c r="B42" s="110"/>
      <c r="C42" s="214" t="s">
        <v>202</v>
      </c>
      <c r="D42" s="207"/>
      <c r="E42" s="207">
        <v>4</v>
      </c>
      <c r="F42" s="480">
        <v>4</v>
      </c>
      <c r="G42" s="208"/>
      <c r="H42" s="208">
        <v>4</v>
      </c>
      <c r="I42" s="1382">
        <v>4</v>
      </c>
      <c r="J42" s="1383">
        <v>0.25</v>
      </c>
      <c r="K42" s="1384">
        <v>1</v>
      </c>
      <c r="P42" s="1373"/>
    </row>
    <row r="43" spans="1:16">
      <c r="A43" s="110"/>
      <c r="B43" s="110"/>
      <c r="C43" s="215" t="s">
        <v>194</v>
      </c>
      <c r="D43" s="209">
        <v>2548</v>
      </c>
      <c r="E43" s="209">
        <v>1936</v>
      </c>
      <c r="F43" s="209">
        <v>4484</v>
      </c>
      <c r="G43" s="209">
        <v>1560</v>
      </c>
      <c r="H43" s="209">
        <v>1210</v>
      </c>
      <c r="I43" s="1385">
        <v>2770</v>
      </c>
      <c r="J43" s="1386">
        <v>0.60938532716457372</v>
      </c>
      <c r="K43" s="1386">
        <v>0.56218365871294285</v>
      </c>
      <c r="P43" s="1373"/>
    </row>
    <row r="44" spans="1:16">
      <c r="A44" s="110"/>
      <c r="B44" s="110"/>
      <c r="C44" s="216" t="s">
        <v>52</v>
      </c>
      <c r="D44" s="212">
        <v>54</v>
      </c>
      <c r="E44" s="212">
        <v>199</v>
      </c>
      <c r="F44" s="480">
        <v>253</v>
      </c>
      <c r="G44" s="205">
        <v>51</v>
      </c>
      <c r="H44" s="205">
        <v>187</v>
      </c>
      <c r="I44" s="1387">
        <v>238</v>
      </c>
      <c r="J44" s="1388">
        <v>0.94901960784313721</v>
      </c>
      <c r="K44" s="1389">
        <v>0.17355371900826447</v>
      </c>
      <c r="P44" s="1373"/>
    </row>
    <row r="45" spans="1:16">
      <c r="A45" s="110"/>
      <c r="B45" s="110"/>
      <c r="C45" s="213" t="s">
        <v>54</v>
      </c>
      <c r="D45" s="206">
        <v>119</v>
      </c>
      <c r="E45" s="206">
        <v>269</v>
      </c>
      <c r="F45" s="480">
        <v>388</v>
      </c>
      <c r="G45" s="206">
        <v>95</v>
      </c>
      <c r="H45" s="206">
        <v>215</v>
      </c>
      <c r="I45" s="1378">
        <v>310</v>
      </c>
      <c r="J45" s="1379">
        <v>0.81005586592178769</v>
      </c>
      <c r="K45" s="1380">
        <v>0.24827586206896551</v>
      </c>
      <c r="P45" s="1373"/>
    </row>
    <row r="46" spans="1:16">
      <c r="A46" s="110"/>
      <c r="B46" s="110"/>
      <c r="C46" s="213" t="s">
        <v>56</v>
      </c>
      <c r="D46" s="206">
        <v>173</v>
      </c>
      <c r="E46" s="206">
        <v>452</v>
      </c>
      <c r="F46" s="480">
        <v>625</v>
      </c>
      <c r="G46" s="206">
        <v>126</v>
      </c>
      <c r="H46" s="206">
        <v>309</v>
      </c>
      <c r="I46" s="1378">
        <v>435</v>
      </c>
      <c r="J46" s="1379">
        <v>0.68711656441717794</v>
      </c>
      <c r="K46" s="1380">
        <v>0.22767857142857142</v>
      </c>
      <c r="P46" s="1373"/>
    </row>
    <row r="47" spans="1:16">
      <c r="A47" s="110"/>
      <c r="B47" s="110"/>
      <c r="C47" s="213" t="s">
        <v>58</v>
      </c>
      <c r="D47" s="206">
        <v>86</v>
      </c>
      <c r="E47" s="206">
        <v>276</v>
      </c>
      <c r="F47" s="480">
        <v>362</v>
      </c>
      <c r="G47" s="206">
        <v>74</v>
      </c>
      <c r="H47" s="206">
        <v>246</v>
      </c>
      <c r="I47" s="1378">
        <v>320</v>
      </c>
      <c r="J47" s="1379">
        <v>0.8820224719101124</v>
      </c>
      <c r="K47" s="1380">
        <v>0.2643312101910828</v>
      </c>
      <c r="P47" s="1373"/>
    </row>
    <row r="48" spans="1:16">
      <c r="A48" s="110"/>
      <c r="B48" s="110"/>
      <c r="C48" s="213" t="s">
        <v>60</v>
      </c>
      <c r="D48" s="206">
        <v>34</v>
      </c>
      <c r="E48" s="206">
        <v>128</v>
      </c>
      <c r="F48" s="480">
        <v>162</v>
      </c>
      <c r="G48" s="206">
        <v>30</v>
      </c>
      <c r="H48" s="206">
        <v>102</v>
      </c>
      <c r="I48" s="1378">
        <v>132</v>
      </c>
      <c r="J48" s="1379">
        <v>0.79104477611940294</v>
      </c>
      <c r="K48" s="1380">
        <v>0.21698113207547171</v>
      </c>
      <c r="P48" s="1373"/>
    </row>
    <row r="49" spans="1:16">
      <c r="A49" s="110"/>
      <c r="B49" s="110"/>
      <c r="C49" s="213" t="s">
        <v>62</v>
      </c>
      <c r="D49" s="206">
        <v>53</v>
      </c>
      <c r="E49" s="206">
        <v>160</v>
      </c>
      <c r="F49" s="480">
        <v>213</v>
      </c>
      <c r="G49" s="206">
        <v>45</v>
      </c>
      <c r="H49" s="206">
        <v>135</v>
      </c>
      <c r="I49" s="1378">
        <v>180</v>
      </c>
      <c r="J49" s="1379">
        <v>0.91787439613526567</v>
      </c>
      <c r="K49" s="1380">
        <v>0.28947368421052633</v>
      </c>
      <c r="P49" s="1373"/>
    </row>
    <row r="50" spans="1:16">
      <c r="A50" s="110"/>
      <c r="B50" s="110"/>
      <c r="C50" s="213" t="s">
        <v>64</v>
      </c>
      <c r="D50" s="206">
        <v>151</v>
      </c>
      <c r="E50" s="206">
        <v>156</v>
      </c>
      <c r="F50" s="480">
        <v>307</v>
      </c>
      <c r="G50" s="206">
        <v>137</v>
      </c>
      <c r="H50" s="206">
        <v>141</v>
      </c>
      <c r="I50" s="1378">
        <v>278</v>
      </c>
      <c r="J50" s="1379">
        <v>0.77910447761194035</v>
      </c>
      <c r="K50" s="1380">
        <v>0.43295019157088122</v>
      </c>
      <c r="P50" s="1373"/>
    </row>
    <row r="51" spans="1:16">
      <c r="A51" s="110"/>
      <c r="B51" s="110"/>
      <c r="C51" s="213" t="s">
        <v>66</v>
      </c>
      <c r="D51" s="206">
        <v>125</v>
      </c>
      <c r="E51" s="206">
        <v>133</v>
      </c>
      <c r="F51" s="480">
        <v>258</v>
      </c>
      <c r="G51" s="206">
        <v>106</v>
      </c>
      <c r="H51" s="206">
        <v>125</v>
      </c>
      <c r="I51" s="1378">
        <v>231</v>
      </c>
      <c r="J51" s="1379">
        <v>0.86988847583643125</v>
      </c>
      <c r="K51" s="1380">
        <v>0.41025641025641024</v>
      </c>
      <c r="P51" s="1373"/>
    </row>
    <row r="52" spans="1:16">
      <c r="A52" s="110"/>
      <c r="B52" s="110"/>
      <c r="C52" s="213" t="s">
        <v>68</v>
      </c>
      <c r="D52" s="206">
        <v>108</v>
      </c>
      <c r="E52" s="206">
        <v>172</v>
      </c>
      <c r="F52" s="480">
        <v>280</v>
      </c>
      <c r="G52" s="206">
        <v>97</v>
      </c>
      <c r="H52" s="206">
        <v>148</v>
      </c>
      <c r="I52" s="1378">
        <v>245</v>
      </c>
      <c r="J52" s="1379">
        <v>0.85</v>
      </c>
      <c r="K52" s="1380">
        <v>0.41176470588235292</v>
      </c>
      <c r="P52" s="1373"/>
    </row>
    <row r="53" spans="1:16">
      <c r="A53" s="110"/>
      <c r="B53" s="110"/>
      <c r="C53" s="213" t="s">
        <v>70</v>
      </c>
      <c r="D53" s="206">
        <v>23</v>
      </c>
      <c r="E53" s="206">
        <v>55</v>
      </c>
      <c r="F53" s="480">
        <v>78</v>
      </c>
      <c r="G53" s="206">
        <v>22</v>
      </c>
      <c r="H53" s="206">
        <v>50</v>
      </c>
      <c r="I53" s="1378">
        <v>72</v>
      </c>
      <c r="J53" s="1379">
        <v>0.92</v>
      </c>
      <c r="K53" s="1380">
        <v>0.29347826086956524</v>
      </c>
      <c r="P53" s="1373"/>
    </row>
    <row r="54" spans="1:16">
      <c r="A54" s="110"/>
      <c r="B54" s="110"/>
      <c r="C54" s="213" t="s">
        <v>72</v>
      </c>
      <c r="D54" s="206">
        <v>70</v>
      </c>
      <c r="E54" s="206">
        <v>72</v>
      </c>
      <c r="F54" s="480">
        <v>142</v>
      </c>
      <c r="G54" s="206">
        <v>66</v>
      </c>
      <c r="H54" s="206">
        <v>67</v>
      </c>
      <c r="I54" s="1378">
        <v>133</v>
      </c>
      <c r="J54" s="1379">
        <v>0.87179487179487181</v>
      </c>
      <c r="K54" s="1380">
        <v>0.48529411764705882</v>
      </c>
      <c r="P54" s="1373"/>
    </row>
    <row r="55" spans="1:16">
      <c r="A55" s="110"/>
      <c r="B55" s="110"/>
      <c r="C55" s="213" t="s">
        <v>74</v>
      </c>
      <c r="D55" s="206">
        <v>92</v>
      </c>
      <c r="E55" s="206">
        <v>109</v>
      </c>
      <c r="F55" s="480">
        <v>201</v>
      </c>
      <c r="G55" s="206">
        <v>85</v>
      </c>
      <c r="H55" s="206">
        <v>96</v>
      </c>
      <c r="I55" s="1378">
        <v>181</v>
      </c>
      <c r="J55" s="1379">
        <v>0.88235294117647056</v>
      </c>
      <c r="K55" s="1380">
        <v>0.47272727272727272</v>
      </c>
      <c r="P55" s="1373"/>
    </row>
    <row r="56" spans="1:16">
      <c r="A56" s="110"/>
      <c r="B56" s="110"/>
      <c r="C56" s="213" t="s">
        <v>76</v>
      </c>
      <c r="D56" s="206">
        <v>43</v>
      </c>
      <c r="E56" s="206">
        <v>49</v>
      </c>
      <c r="F56" s="480">
        <v>92</v>
      </c>
      <c r="G56" s="206">
        <v>42</v>
      </c>
      <c r="H56" s="206">
        <v>43</v>
      </c>
      <c r="I56" s="1378">
        <v>85</v>
      </c>
      <c r="J56" s="1379">
        <v>0.83529411764705885</v>
      </c>
      <c r="K56" s="1380">
        <v>0.39436619718309857</v>
      </c>
      <c r="P56" s="1373"/>
    </row>
    <row r="57" spans="1:16">
      <c r="A57" s="110"/>
      <c r="B57" s="110"/>
      <c r="C57" s="213" t="s">
        <v>78</v>
      </c>
      <c r="D57" s="206">
        <v>99</v>
      </c>
      <c r="E57" s="206">
        <v>305</v>
      </c>
      <c r="F57" s="480">
        <v>404</v>
      </c>
      <c r="G57" s="206">
        <v>60</v>
      </c>
      <c r="H57" s="206">
        <v>212</v>
      </c>
      <c r="I57" s="1378">
        <v>272</v>
      </c>
      <c r="J57" s="1379">
        <v>0.70704845814977979</v>
      </c>
      <c r="K57" s="1380">
        <v>0.19314641744548286</v>
      </c>
      <c r="P57" s="1373"/>
    </row>
    <row r="58" spans="1:16">
      <c r="A58" s="110"/>
      <c r="B58" s="110"/>
      <c r="C58" s="213" t="s">
        <v>80</v>
      </c>
      <c r="D58" s="206">
        <v>104</v>
      </c>
      <c r="E58" s="206">
        <v>290</v>
      </c>
      <c r="F58" s="480">
        <v>394</v>
      </c>
      <c r="G58" s="206">
        <v>53</v>
      </c>
      <c r="H58" s="206">
        <v>174</v>
      </c>
      <c r="I58" s="1378">
        <v>227</v>
      </c>
      <c r="J58" s="1379">
        <v>0.58918918918918917</v>
      </c>
      <c r="K58" s="1380">
        <v>0.18807339449541285</v>
      </c>
      <c r="P58" s="1373"/>
    </row>
    <row r="59" spans="1:16">
      <c r="A59" s="110"/>
      <c r="B59" s="110"/>
      <c r="C59" s="213" t="s">
        <v>82</v>
      </c>
      <c r="D59" s="206">
        <v>67</v>
      </c>
      <c r="E59" s="206">
        <v>124</v>
      </c>
      <c r="F59" s="480">
        <v>191</v>
      </c>
      <c r="G59" s="206">
        <v>51</v>
      </c>
      <c r="H59" s="206">
        <v>104</v>
      </c>
      <c r="I59" s="1378">
        <v>155</v>
      </c>
      <c r="J59" s="1379">
        <v>0.74178403755868549</v>
      </c>
      <c r="K59" s="1380">
        <v>0.25949367088607594</v>
      </c>
      <c r="P59" s="1373"/>
    </row>
    <row r="60" spans="1:16">
      <c r="A60" s="110"/>
      <c r="B60" s="110"/>
      <c r="C60" s="213" t="s">
        <v>84</v>
      </c>
      <c r="D60" s="206">
        <v>58</v>
      </c>
      <c r="E60" s="206">
        <v>203</v>
      </c>
      <c r="F60" s="480">
        <v>261</v>
      </c>
      <c r="G60" s="206">
        <v>34</v>
      </c>
      <c r="H60" s="206">
        <v>122</v>
      </c>
      <c r="I60" s="1378">
        <v>156</v>
      </c>
      <c r="J60" s="1379">
        <v>0.66666666666666663</v>
      </c>
      <c r="K60" s="1380">
        <v>0.15979381443298968</v>
      </c>
      <c r="P60" s="1373"/>
    </row>
    <row r="61" spans="1:16">
      <c r="A61" s="110"/>
      <c r="B61" s="110"/>
      <c r="C61" s="213" t="s">
        <v>85</v>
      </c>
      <c r="D61" s="206">
        <v>329</v>
      </c>
      <c r="E61" s="206">
        <v>217</v>
      </c>
      <c r="F61" s="480">
        <v>546</v>
      </c>
      <c r="G61" s="206">
        <v>258</v>
      </c>
      <c r="H61" s="206">
        <v>185</v>
      </c>
      <c r="I61" s="1378">
        <v>443</v>
      </c>
      <c r="J61" s="1379">
        <v>0.79049295774647887</v>
      </c>
      <c r="K61" s="1380">
        <v>0.57461024498886415</v>
      </c>
      <c r="P61" s="1373"/>
    </row>
    <row r="62" spans="1:16">
      <c r="A62" s="110"/>
      <c r="B62" s="110"/>
      <c r="C62" s="213" t="s">
        <v>87</v>
      </c>
      <c r="D62" s="206">
        <v>411</v>
      </c>
      <c r="E62" s="206">
        <v>266</v>
      </c>
      <c r="F62" s="480">
        <v>677</v>
      </c>
      <c r="G62" s="206">
        <v>294</v>
      </c>
      <c r="H62" s="206">
        <v>198</v>
      </c>
      <c r="I62" s="1378">
        <v>492</v>
      </c>
      <c r="J62" s="1379">
        <v>0.70391872278664736</v>
      </c>
      <c r="K62" s="1380">
        <v>0.59381443298969072</v>
      </c>
      <c r="P62" s="1373"/>
    </row>
    <row r="63" spans="1:16">
      <c r="A63" s="110"/>
      <c r="B63" s="110"/>
      <c r="C63" s="213" t="s">
        <v>89</v>
      </c>
      <c r="D63" s="206">
        <v>143</v>
      </c>
      <c r="E63" s="206">
        <v>106</v>
      </c>
      <c r="F63" s="480">
        <v>249</v>
      </c>
      <c r="G63" s="206">
        <v>116</v>
      </c>
      <c r="H63" s="206">
        <v>90</v>
      </c>
      <c r="I63" s="1378">
        <v>206</v>
      </c>
      <c r="J63" s="1379">
        <v>0.84013605442176875</v>
      </c>
      <c r="K63" s="1380">
        <v>0.55060728744939269</v>
      </c>
      <c r="P63" s="1373"/>
    </row>
    <row r="64" spans="1:16">
      <c r="A64" s="110"/>
      <c r="B64" s="110"/>
      <c r="C64" s="213" t="s">
        <v>91</v>
      </c>
      <c r="D64" s="206">
        <v>182</v>
      </c>
      <c r="E64" s="206">
        <v>147</v>
      </c>
      <c r="F64" s="480">
        <v>329</v>
      </c>
      <c r="G64" s="206">
        <v>116</v>
      </c>
      <c r="H64" s="206">
        <v>96</v>
      </c>
      <c r="I64" s="1378">
        <v>212</v>
      </c>
      <c r="J64" s="1379">
        <v>0.67479674796747968</v>
      </c>
      <c r="K64" s="1380">
        <v>0.50602409638554213</v>
      </c>
      <c r="P64" s="1373"/>
    </row>
    <row r="65" spans="1:16">
      <c r="A65" s="110"/>
      <c r="B65" s="110"/>
      <c r="C65" s="213" t="s">
        <v>93</v>
      </c>
      <c r="D65" s="206">
        <v>181</v>
      </c>
      <c r="E65" s="206">
        <v>111</v>
      </c>
      <c r="F65" s="480">
        <v>292</v>
      </c>
      <c r="G65" s="206">
        <v>157</v>
      </c>
      <c r="H65" s="206">
        <v>98</v>
      </c>
      <c r="I65" s="1378">
        <v>255</v>
      </c>
      <c r="J65" s="1379">
        <v>0.89761092150170652</v>
      </c>
      <c r="K65" s="1380">
        <v>0.53612167300380231</v>
      </c>
      <c r="P65" s="1373"/>
    </row>
    <row r="66" spans="1:16">
      <c r="A66" s="110"/>
      <c r="B66" s="110"/>
      <c r="C66" s="214" t="s">
        <v>95</v>
      </c>
      <c r="D66" s="207">
        <v>143</v>
      </c>
      <c r="E66" s="207">
        <v>114</v>
      </c>
      <c r="F66" s="480">
        <v>257</v>
      </c>
      <c r="G66" s="208">
        <v>106</v>
      </c>
      <c r="H66" s="208">
        <v>87</v>
      </c>
      <c r="I66" s="1382">
        <v>193</v>
      </c>
      <c r="J66" s="1383">
        <v>0.82673267326732669</v>
      </c>
      <c r="K66" s="1384">
        <v>0.49700598802395207</v>
      </c>
      <c r="P66" s="1373"/>
    </row>
    <row r="67" spans="1:16">
      <c r="A67" s="110"/>
      <c r="B67" s="110"/>
      <c r="C67" s="215" t="s">
        <v>196</v>
      </c>
      <c r="D67" s="209">
        <v>2848</v>
      </c>
      <c r="E67" s="209">
        <v>4113</v>
      </c>
      <c r="F67" s="209">
        <v>6961</v>
      </c>
      <c r="G67" s="209">
        <v>2221</v>
      </c>
      <c r="H67" s="209">
        <v>3230</v>
      </c>
      <c r="I67" s="1385">
        <v>5451</v>
      </c>
      <c r="J67" s="1386">
        <v>0.77813685541660815</v>
      </c>
      <c r="K67" s="1386">
        <v>0.37739256049115205</v>
      </c>
      <c r="P67" s="1373"/>
    </row>
    <row r="68" spans="1:16">
      <c r="A68" s="110"/>
      <c r="B68" s="110"/>
      <c r="C68" s="1391" t="s">
        <v>517</v>
      </c>
      <c r="D68" s="212">
        <v>61</v>
      </c>
      <c r="E68" s="212">
        <v>42</v>
      </c>
      <c r="F68" s="480">
        <v>103</v>
      </c>
      <c r="G68" s="205">
        <v>44</v>
      </c>
      <c r="H68" s="205">
        <v>34</v>
      </c>
      <c r="I68" s="1387">
        <v>78</v>
      </c>
      <c r="J68" s="1388">
        <v>0.81318681318681318</v>
      </c>
      <c r="K68" s="1389">
        <v>0.56756756756756754</v>
      </c>
      <c r="P68" s="1373"/>
    </row>
    <row r="69" spans="1:16">
      <c r="A69" s="110"/>
      <c r="B69" s="110"/>
      <c r="C69" s="1392" t="s">
        <v>519</v>
      </c>
      <c r="D69" s="206">
        <v>68</v>
      </c>
      <c r="E69" s="206">
        <v>51</v>
      </c>
      <c r="F69" s="480">
        <v>119</v>
      </c>
      <c r="G69" s="206">
        <v>59</v>
      </c>
      <c r="H69" s="206">
        <v>45</v>
      </c>
      <c r="I69" s="1378">
        <v>104</v>
      </c>
      <c r="J69" s="1379">
        <v>0.82352941176470584</v>
      </c>
      <c r="K69" s="1380">
        <v>0.58333333333333337</v>
      </c>
      <c r="P69" s="1373"/>
    </row>
    <row r="70" spans="1:16">
      <c r="A70" s="110"/>
      <c r="B70" s="110"/>
      <c r="C70" s="1390" t="s">
        <v>521</v>
      </c>
      <c r="D70" s="207">
        <v>123</v>
      </c>
      <c r="E70" s="207">
        <v>56</v>
      </c>
      <c r="F70" s="480">
        <v>179</v>
      </c>
      <c r="G70" s="208">
        <v>90</v>
      </c>
      <c r="H70" s="208">
        <v>48</v>
      </c>
      <c r="I70" s="1382">
        <v>138</v>
      </c>
      <c r="J70" s="1383">
        <v>0.64971751412429379</v>
      </c>
      <c r="K70" s="1384">
        <v>0.64347826086956517</v>
      </c>
      <c r="P70" s="1373"/>
    </row>
    <row r="71" spans="1:16">
      <c r="A71" s="110"/>
      <c r="B71" s="110"/>
      <c r="C71" s="215" t="s">
        <v>150</v>
      </c>
      <c r="D71" s="481">
        <v>252</v>
      </c>
      <c r="E71" s="481">
        <v>149</v>
      </c>
      <c r="F71" s="481">
        <v>401</v>
      </c>
      <c r="G71" s="481">
        <v>193</v>
      </c>
      <c r="H71" s="481">
        <v>127</v>
      </c>
      <c r="I71" s="1393">
        <v>320</v>
      </c>
      <c r="J71" s="1386">
        <v>0.73783783783783785</v>
      </c>
      <c r="K71" s="1386">
        <v>0.60439560439560436</v>
      </c>
      <c r="P71" s="1373"/>
    </row>
    <row r="72" spans="1:16" ht="13.8" thickBot="1">
      <c r="A72" s="110"/>
      <c r="B72" s="110"/>
      <c r="C72" s="217" t="s">
        <v>138</v>
      </c>
      <c r="D72" s="1946">
        <f t="shared" ref="D72:I72" si="0">D17+D43+D67+D71</f>
        <v>6313</v>
      </c>
      <c r="E72" s="1946">
        <f t="shared" si="0"/>
        <v>6929</v>
      </c>
      <c r="F72" s="1946">
        <f t="shared" si="0"/>
        <v>13242</v>
      </c>
      <c r="G72" s="1946">
        <f t="shared" si="0"/>
        <v>4275</v>
      </c>
      <c r="H72" s="1946">
        <f t="shared" si="0"/>
        <v>4882</v>
      </c>
      <c r="I72" s="1946">
        <f t="shared" si="0"/>
        <v>9157</v>
      </c>
      <c r="J72" s="1394">
        <v>0.68309754281459423</v>
      </c>
      <c r="K72" s="1395">
        <v>0.44538914323086987</v>
      </c>
    </row>
    <row r="73" spans="1:16">
      <c r="A73" s="110"/>
      <c r="B73" s="110"/>
      <c r="C73" s="110"/>
      <c r="D73" s="111"/>
      <c r="E73" s="111"/>
      <c r="F73" s="111"/>
      <c r="G73" s="110"/>
      <c r="H73" s="110"/>
      <c r="I73" s="110"/>
      <c r="J73" s="110"/>
      <c r="K73" s="110"/>
    </row>
    <row r="74" spans="1:16">
      <c r="A74" s="110"/>
      <c r="B74" s="110"/>
      <c r="C74" s="1396" t="s">
        <v>938</v>
      </c>
      <c r="D74" s="111"/>
      <c r="E74" s="111"/>
      <c r="F74" s="111"/>
      <c r="G74" s="110"/>
      <c r="H74" s="110"/>
      <c r="I74" s="110"/>
      <c r="J74" s="110"/>
      <c r="K74" s="110"/>
    </row>
  </sheetData>
  <mergeCells count="4">
    <mergeCell ref="A2:K2"/>
    <mergeCell ref="A4:K4"/>
    <mergeCell ref="A5:K5"/>
    <mergeCell ref="D8:K8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66"/>
  </sheetPr>
  <dimension ref="A2:S69"/>
  <sheetViews>
    <sheetView topLeftCell="A23" zoomScale="85" zoomScaleNormal="85" workbookViewId="0">
      <selection activeCell="L18" sqref="L18"/>
    </sheetView>
  </sheetViews>
  <sheetFormatPr baseColWidth="10" defaultRowHeight="13.2"/>
  <cols>
    <col min="1" max="1" width="10.109375" style="1263" customWidth="1"/>
    <col min="2" max="2" width="65" style="1263" bestFit="1" customWidth="1"/>
    <col min="3" max="4" width="5.33203125" style="1263" bestFit="1" customWidth="1"/>
    <col min="5" max="6" width="6.109375" style="1263" bestFit="1" customWidth="1"/>
    <col min="7" max="7" width="6.88671875" style="1263" bestFit="1" customWidth="1"/>
    <col min="8" max="8" width="5.33203125" style="1263" bestFit="1" customWidth="1"/>
    <col min="9" max="9" width="7.44140625" style="1263" customWidth="1"/>
    <col min="10" max="10" width="10.109375" style="1263" customWidth="1"/>
    <col min="11" max="256" width="11.44140625" style="1263"/>
    <col min="257" max="257" width="10.109375" style="1263" customWidth="1"/>
    <col min="258" max="258" width="65" style="1263" bestFit="1" customWidth="1"/>
    <col min="259" max="260" width="5.33203125" style="1263" bestFit="1" customWidth="1"/>
    <col min="261" max="263" width="6.109375" style="1263" bestFit="1" customWidth="1"/>
    <col min="264" max="264" width="5.33203125" style="1263" bestFit="1" customWidth="1"/>
    <col min="265" max="265" width="7.44140625" style="1263" customWidth="1"/>
    <col min="266" max="266" width="7.5546875" style="1263" customWidth="1"/>
    <col min="267" max="512" width="11.44140625" style="1263"/>
    <col min="513" max="513" width="10.109375" style="1263" customWidth="1"/>
    <col min="514" max="514" width="65" style="1263" bestFit="1" customWidth="1"/>
    <col min="515" max="516" width="5.33203125" style="1263" bestFit="1" customWidth="1"/>
    <col min="517" max="519" width="6.109375" style="1263" bestFit="1" customWidth="1"/>
    <col min="520" max="520" width="5.33203125" style="1263" bestFit="1" customWidth="1"/>
    <col min="521" max="521" width="7.44140625" style="1263" customWidth="1"/>
    <col min="522" max="522" width="7.5546875" style="1263" customWidth="1"/>
    <col min="523" max="768" width="11.44140625" style="1263"/>
    <col min="769" max="769" width="10.109375" style="1263" customWidth="1"/>
    <col min="770" max="770" width="65" style="1263" bestFit="1" customWidth="1"/>
    <col min="771" max="772" width="5.33203125" style="1263" bestFit="1" customWidth="1"/>
    <col min="773" max="775" width="6.109375" style="1263" bestFit="1" customWidth="1"/>
    <col min="776" max="776" width="5.33203125" style="1263" bestFit="1" customWidth="1"/>
    <col min="777" max="777" width="7.44140625" style="1263" customWidth="1"/>
    <col min="778" max="778" width="7.5546875" style="1263" customWidth="1"/>
    <col min="779" max="1024" width="11.44140625" style="1263"/>
    <col min="1025" max="1025" width="10.109375" style="1263" customWidth="1"/>
    <col min="1026" max="1026" width="65" style="1263" bestFit="1" customWidth="1"/>
    <col min="1027" max="1028" width="5.33203125" style="1263" bestFit="1" customWidth="1"/>
    <col min="1029" max="1031" width="6.109375" style="1263" bestFit="1" customWidth="1"/>
    <col min="1032" max="1032" width="5.33203125" style="1263" bestFit="1" customWidth="1"/>
    <col min="1033" max="1033" width="7.44140625" style="1263" customWidth="1"/>
    <col min="1034" max="1034" width="7.5546875" style="1263" customWidth="1"/>
    <col min="1035" max="1280" width="11.44140625" style="1263"/>
    <col min="1281" max="1281" width="10.109375" style="1263" customWidth="1"/>
    <col min="1282" max="1282" width="65" style="1263" bestFit="1" customWidth="1"/>
    <col min="1283" max="1284" width="5.33203125" style="1263" bestFit="1" customWidth="1"/>
    <col min="1285" max="1287" width="6.109375" style="1263" bestFit="1" customWidth="1"/>
    <col min="1288" max="1288" width="5.33203125" style="1263" bestFit="1" customWidth="1"/>
    <col min="1289" max="1289" width="7.44140625" style="1263" customWidth="1"/>
    <col min="1290" max="1290" width="7.5546875" style="1263" customWidth="1"/>
    <col min="1291" max="1536" width="11.44140625" style="1263"/>
    <col min="1537" max="1537" width="10.109375" style="1263" customWidth="1"/>
    <col min="1538" max="1538" width="65" style="1263" bestFit="1" customWidth="1"/>
    <col min="1539" max="1540" width="5.33203125" style="1263" bestFit="1" customWidth="1"/>
    <col min="1541" max="1543" width="6.109375" style="1263" bestFit="1" customWidth="1"/>
    <col min="1544" max="1544" width="5.33203125" style="1263" bestFit="1" customWidth="1"/>
    <col min="1545" max="1545" width="7.44140625" style="1263" customWidth="1"/>
    <col min="1546" max="1546" width="7.5546875" style="1263" customWidth="1"/>
    <col min="1547" max="1792" width="11.44140625" style="1263"/>
    <col min="1793" max="1793" width="10.109375" style="1263" customWidth="1"/>
    <col min="1794" max="1794" width="65" style="1263" bestFit="1" customWidth="1"/>
    <col min="1795" max="1796" width="5.33203125" style="1263" bestFit="1" customWidth="1"/>
    <col min="1797" max="1799" width="6.109375" style="1263" bestFit="1" customWidth="1"/>
    <col min="1800" max="1800" width="5.33203125" style="1263" bestFit="1" customWidth="1"/>
    <col min="1801" max="1801" width="7.44140625" style="1263" customWidth="1"/>
    <col min="1802" max="1802" width="7.5546875" style="1263" customWidth="1"/>
    <col min="1803" max="2048" width="11.44140625" style="1263"/>
    <col min="2049" max="2049" width="10.109375" style="1263" customWidth="1"/>
    <col min="2050" max="2050" width="65" style="1263" bestFit="1" customWidth="1"/>
    <col min="2051" max="2052" width="5.33203125" style="1263" bestFit="1" customWidth="1"/>
    <col min="2053" max="2055" width="6.109375" style="1263" bestFit="1" customWidth="1"/>
    <col min="2056" max="2056" width="5.33203125" style="1263" bestFit="1" customWidth="1"/>
    <col min="2057" max="2057" width="7.44140625" style="1263" customWidth="1"/>
    <col min="2058" max="2058" width="7.5546875" style="1263" customWidth="1"/>
    <col min="2059" max="2304" width="11.44140625" style="1263"/>
    <col min="2305" max="2305" width="10.109375" style="1263" customWidth="1"/>
    <col min="2306" max="2306" width="65" style="1263" bestFit="1" customWidth="1"/>
    <col min="2307" max="2308" width="5.33203125" style="1263" bestFit="1" customWidth="1"/>
    <col min="2309" max="2311" width="6.109375" style="1263" bestFit="1" customWidth="1"/>
    <col min="2312" max="2312" width="5.33203125" style="1263" bestFit="1" customWidth="1"/>
    <col min="2313" max="2313" width="7.44140625" style="1263" customWidth="1"/>
    <col min="2314" max="2314" width="7.5546875" style="1263" customWidth="1"/>
    <col min="2315" max="2560" width="11.44140625" style="1263"/>
    <col min="2561" max="2561" width="10.109375" style="1263" customWidth="1"/>
    <col min="2562" max="2562" width="65" style="1263" bestFit="1" customWidth="1"/>
    <col min="2563" max="2564" width="5.33203125" style="1263" bestFit="1" customWidth="1"/>
    <col min="2565" max="2567" width="6.109375" style="1263" bestFit="1" customWidth="1"/>
    <col min="2568" max="2568" width="5.33203125" style="1263" bestFit="1" customWidth="1"/>
    <col min="2569" max="2569" width="7.44140625" style="1263" customWidth="1"/>
    <col min="2570" max="2570" width="7.5546875" style="1263" customWidth="1"/>
    <col min="2571" max="2816" width="11.44140625" style="1263"/>
    <col min="2817" max="2817" width="10.109375" style="1263" customWidth="1"/>
    <col min="2818" max="2818" width="65" style="1263" bestFit="1" customWidth="1"/>
    <col min="2819" max="2820" width="5.33203125" style="1263" bestFit="1" customWidth="1"/>
    <col min="2821" max="2823" width="6.109375" style="1263" bestFit="1" customWidth="1"/>
    <col min="2824" max="2824" width="5.33203125" style="1263" bestFit="1" customWidth="1"/>
    <col min="2825" max="2825" width="7.44140625" style="1263" customWidth="1"/>
    <col min="2826" max="2826" width="7.5546875" style="1263" customWidth="1"/>
    <col min="2827" max="3072" width="11.44140625" style="1263"/>
    <col min="3073" max="3073" width="10.109375" style="1263" customWidth="1"/>
    <col min="3074" max="3074" width="65" style="1263" bestFit="1" customWidth="1"/>
    <col min="3075" max="3076" width="5.33203125" style="1263" bestFit="1" customWidth="1"/>
    <col min="3077" max="3079" width="6.109375" style="1263" bestFit="1" customWidth="1"/>
    <col min="3080" max="3080" width="5.33203125" style="1263" bestFit="1" customWidth="1"/>
    <col min="3081" max="3081" width="7.44140625" style="1263" customWidth="1"/>
    <col min="3082" max="3082" width="7.5546875" style="1263" customWidth="1"/>
    <col min="3083" max="3328" width="11.44140625" style="1263"/>
    <col min="3329" max="3329" width="10.109375" style="1263" customWidth="1"/>
    <col min="3330" max="3330" width="65" style="1263" bestFit="1" customWidth="1"/>
    <col min="3331" max="3332" width="5.33203125" style="1263" bestFit="1" customWidth="1"/>
    <col min="3333" max="3335" width="6.109375" style="1263" bestFit="1" customWidth="1"/>
    <col min="3336" max="3336" width="5.33203125" style="1263" bestFit="1" customWidth="1"/>
    <col min="3337" max="3337" width="7.44140625" style="1263" customWidth="1"/>
    <col min="3338" max="3338" width="7.5546875" style="1263" customWidth="1"/>
    <col min="3339" max="3584" width="11.44140625" style="1263"/>
    <col min="3585" max="3585" width="10.109375" style="1263" customWidth="1"/>
    <col min="3586" max="3586" width="65" style="1263" bestFit="1" customWidth="1"/>
    <col min="3587" max="3588" width="5.33203125" style="1263" bestFit="1" customWidth="1"/>
    <col min="3589" max="3591" width="6.109375" style="1263" bestFit="1" customWidth="1"/>
    <col min="3592" max="3592" width="5.33203125" style="1263" bestFit="1" customWidth="1"/>
    <col min="3593" max="3593" width="7.44140625" style="1263" customWidth="1"/>
    <col min="3594" max="3594" width="7.5546875" style="1263" customWidth="1"/>
    <col min="3595" max="3840" width="11.44140625" style="1263"/>
    <col min="3841" max="3841" width="10.109375" style="1263" customWidth="1"/>
    <col min="3842" max="3842" width="65" style="1263" bestFit="1" customWidth="1"/>
    <col min="3843" max="3844" width="5.33203125" style="1263" bestFit="1" customWidth="1"/>
    <col min="3845" max="3847" width="6.109375" style="1263" bestFit="1" customWidth="1"/>
    <col min="3848" max="3848" width="5.33203125" style="1263" bestFit="1" customWidth="1"/>
    <col min="3849" max="3849" width="7.44140625" style="1263" customWidth="1"/>
    <col min="3850" max="3850" width="7.5546875" style="1263" customWidth="1"/>
    <col min="3851" max="4096" width="11.44140625" style="1263"/>
    <col min="4097" max="4097" width="10.109375" style="1263" customWidth="1"/>
    <col min="4098" max="4098" width="65" style="1263" bestFit="1" customWidth="1"/>
    <col min="4099" max="4100" width="5.33203125" style="1263" bestFit="1" customWidth="1"/>
    <col min="4101" max="4103" width="6.109375" style="1263" bestFit="1" customWidth="1"/>
    <col min="4104" max="4104" width="5.33203125" style="1263" bestFit="1" customWidth="1"/>
    <col min="4105" max="4105" width="7.44140625" style="1263" customWidth="1"/>
    <col min="4106" max="4106" width="7.5546875" style="1263" customWidth="1"/>
    <col min="4107" max="4352" width="11.44140625" style="1263"/>
    <col min="4353" max="4353" width="10.109375" style="1263" customWidth="1"/>
    <col min="4354" max="4354" width="65" style="1263" bestFit="1" customWidth="1"/>
    <col min="4355" max="4356" width="5.33203125" style="1263" bestFit="1" customWidth="1"/>
    <col min="4357" max="4359" width="6.109375" style="1263" bestFit="1" customWidth="1"/>
    <col min="4360" max="4360" width="5.33203125" style="1263" bestFit="1" customWidth="1"/>
    <col min="4361" max="4361" width="7.44140625" style="1263" customWidth="1"/>
    <col min="4362" max="4362" width="7.5546875" style="1263" customWidth="1"/>
    <col min="4363" max="4608" width="11.44140625" style="1263"/>
    <col min="4609" max="4609" width="10.109375" style="1263" customWidth="1"/>
    <col min="4610" max="4610" width="65" style="1263" bestFit="1" customWidth="1"/>
    <col min="4611" max="4612" width="5.33203125" style="1263" bestFit="1" customWidth="1"/>
    <col min="4613" max="4615" width="6.109375" style="1263" bestFit="1" customWidth="1"/>
    <col min="4616" max="4616" width="5.33203125" style="1263" bestFit="1" customWidth="1"/>
    <col min="4617" max="4617" width="7.44140625" style="1263" customWidth="1"/>
    <col min="4618" max="4618" width="7.5546875" style="1263" customWidth="1"/>
    <col min="4619" max="4864" width="11.44140625" style="1263"/>
    <col min="4865" max="4865" width="10.109375" style="1263" customWidth="1"/>
    <col min="4866" max="4866" width="65" style="1263" bestFit="1" customWidth="1"/>
    <col min="4867" max="4868" width="5.33203125" style="1263" bestFit="1" customWidth="1"/>
    <col min="4869" max="4871" width="6.109375" style="1263" bestFit="1" customWidth="1"/>
    <col min="4872" max="4872" width="5.33203125" style="1263" bestFit="1" customWidth="1"/>
    <col min="4873" max="4873" width="7.44140625" style="1263" customWidth="1"/>
    <col min="4874" max="4874" width="7.5546875" style="1263" customWidth="1"/>
    <col min="4875" max="5120" width="11.44140625" style="1263"/>
    <col min="5121" max="5121" width="10.109375" style="1263" customWidth="1"/>
    <col min="5122" max="5122" width="65" style="1263" bestFit="1" customWidth="1"/>
    <col min="5123" max="5124" width="5.33203125" style="1263" bestFit="1" customWidth="1"/>
    <col min="5125" max="5127" width="6.109375" style="1263" bestFit="1" customWidth="1"/>
    <col min="5128" max="5128" width="5.33203125" style="1263" bestFit="1" customWidth="1"/>
    <col min="5129" max="5129" width="7.44140625" style="1263" customWidth="1"/>
    <col min="5130" max="5130" width="7.5546875" style="1263" customWidth="1"/>
    <col min="5131" max="5376" width="11.44140625" style="1263"/>
    <col min="5377" max="5377" width="10.109375" style="1263" customWidth="1"/>
    <col min="5378" max="5378" width="65" style="1263" bestFit="1" customWidth="1"/>
    <col min="5379" max="5380" width="5.33203125" style="1263" bestFit="1" customWidth="1"/>
    <col min="5381" max="5383" width="6.109375" style="1263" bestFit="1" customWidth="1"/>
    <col min="5384" max="5384" width="5.33203125" style="1263" bestFit="1" customWidth="1"/>
    <col min="5385" max="5385" width="7.44140625" style="1263" customWidth="1"/>
    <col min="5386" max="5386" width="7.5546875" style="1263" customWidth="1"/>
    <col min="5387" max="5632" width="11.44140625" style="1263"/>
    <col min="5633" max="5633" width="10.109375" style="1263" customWidth="1"/>
    <col min="5634" max="5634" width="65" style="1263" bestFit="1" customWidth="1"/>
    <col min="5635" max="5636" width="5.33203125" style="1263" bestFit="1" customWidth="1"/>
    <col min="5637" max="5639" width="6.109375" style="1263" bestFit="1" customWidth="1"/>
    <col min="5640" max="5640" width="5.33203125" style="1263" bestFit="1" customWidth="1"/>
    <col min="5641" max="5641" width="7.44140625" style="1263" customWidth="1"/>
    <col min="5642" max="5642" width="7.5546875" style="1263" customWidth="1"/>
    <col min="5643" max="5888" width="11.44140625" style="1263"/>
    <col min="5889" max="5889" width="10.109375" style="1263" customWidth="1"/>
    <col min="5890" max="5890" width="65" style="1263" bestFit="1" customWidth="1"/>
    <col min="5891" max="5892" width="5.33203125" style="1263" bestFit="1" customWidth="1"/>
    <col min="5893" max="5895" width="6.109375" style="1263" bestFit="1" customWidth="1"/>
    <col min="5896" max="5896" width="5.33203125" style="1263" bestFit="1" customWidth="1"/>
    <col min="5897" max="5897" width="7.44140625" style="1263" customWidth="1"/>
    <col min="5898" max="5898" width="7.5546875" style="1263" customWidth="1"/>
    <col min="5899" max="6144" width="11.44140625" style="1263"/>
    <col min="6145" max="6145" width="10.109375" style="1263" customWidth="1"/>
    <col min="6146" max="6146" width="65" style="1263" bestFit="1" customWidth="1"/>
    <col min="6147" max="6148" width="5.33203125" style="1263" bestFit="1" customWidth="1"/>
    <col min="6149" max="6151" width="6.109375" style="1263" bestFit="1" customWidth="1"/>
    <col min="6152" max="6152" width="5.33203125" style="1263" bestFit="1" customWidth="1"/>
    <col min="6153" max="6153" width="7.44140625" style="1263" customWidth="1"/>
    <col min="6154" max="6154" width="7.5546875" style="1263" customWidth="1"/>
    <col min="6155" max="6400" width="11.44140625" style="1263"/>
    <col min="6401" max="6401" width="10.109375" style="1263" customWidth="1"/>
    <col min="6402" max="6402" width="65" style="1263" bestFit="1" customWidth="1"/>
    <col min="6403" max="6404" width="5.33203125" style="1263" bestFit="1" customWidth="1"/>
    <col min="6405" max="6407" width="6.109375" style="1263" bestFit="1" customWidth="1"/>
    <col min="6408" max="6408" width="5.33203125" style="1263" bestFit="1" customWidth="1"/>
    <col min="6409" max="6409" width="7.44140625" style="1263" customWidth="1"/>
    <col min="6410" max="6410" width="7.5546875" style="1263" customWidth="1"/>
    <col min="6411" max="6656" width="11.44140625" style="1263"/>
    <col min="6657" max="6657" width="10.109375" style="1263" customWidth="1"/>
    <col min="6658" max="6658" width="65" style="1263" bestFit="1" customWidth="1"/>
    <col min="6659" max="6660" width="5.33203125" style="1263" bestFit="1" customWidth="1"/>
    <col min="6661" max="6663" width="6.109375" style="1263" bestFit="1" customWidth="1"/>
    <col min="6664" max="6664" width="5.33203125" style="1263" bestFit="1" customWidth="1"/>
    <col min="6665" max="6665" width="7.44140625" style="1263" customWidth="1"/>
    <col min="6666" max="6666" width="7.5546875" style="1263" customWidth="1"/>
    <col min="6667" max="6912" width="11.44140625" style="1263"/>
    <col min="6913" max="6913" width="10.109375" style="1263" customWidth="1"/>
    <col min="6914" max="6914" width="65" style="1263" bestFit="1" customWidth="1"/>
    <col min="6915" max="6916" width="5.33203125" style="1263" bestFit="1" customWidth="1"/>
    <col min="6917" max="6919" width="6.109375" style="1263" bestFit="1" customWidth="1"/>
    <col min="6920" max="6920" width="5.33203125" style="1263" bestFit="1" customWidth="1"/>
    <col min="6921" max="6921" width="7.44140625" style="1263" customWidth="1"/>
    <col min="6922" max="6922" width="7.5546875" style="1263" customWidth="1"/>
    <col min="6923" max="7168" width="11.44140625" style="1263"/>
    <col min="7169" max="7169" width="10.109375" style="1263" customWidth="1"/>
    <col min="7170" max="7170" width="65" style="1263" bestFit="1" customWidth="1"/>
    <col min="7171" max="7172" width="5.33203125" style="1263" bestFit="1" customWidth="1"/>
    <col min="7173" max="7175" width="6.109375" style="1263" bestFit="1" customWidth="1"/>
    <col min="7176" max="7176" width="5.33203125" style="1263" bestFit="1" customWidth="1"/>
    <col min="7177" max="7177" width="7.44140625" style="1263" customWidth="1"/>
    <col min="7178" max="7178" width="7.5546875" style="1263" customWidth="1"/>
    <col min="7179" max="7424" width="11.44140625" style="1263"/>
    <col min="7425" max="7425" width="10.109375" style="1263" customWidth="1"/>
    <col min="7426" max="7426" width="65" style="1263" bestFit="1" customWidth="1"/>
    <col min="7427" max="7428" width="5.33203125" style="1263" bestFit="1" customWidth="1"/>
    <col min="7429" max="7431" width="6.109375" style="1263" bestFit="1" customWidth="1"/>
    <col min="7432" max="7432" width="5.33203125" style="1263" bestFit="1" customWidth="1"/>
    <col min="7433" max="7433" width="7.44140625" style="1263" customWidth="1"/>
    <col min="7434" max="7434" width="7.5546875" style="1263" customWidth="1"/>
    <col min="7435" max="7680" width="11.44140625" style="1263"/>
    <col min="7681" max="7681" width="10.109375" style="1263" customWidth="1"/>
    <col min="7682" max="7682" width="65" style="1263" bestFit="1" customWidth="1"/>
    <col min="7683" max="7684" width="5.33203125" style="1263" bestFit="1" customWidth="1"/>
    <col min="7685" max="7687" width="6.109375" style="1263" bestFit="1" customWidth="1"/>
    <col min="7688" max="7688" width="5.33203125" style="1263" bestFit="1" customWidth="1"/>
    <col min="7689" max="7689" width="7.44140625" style="1263" customWidth="1"/>
    <col min="7690" max="7690" width="7.5546875" style="1263" customWidth="1"/>
    <col min="7691" max="7936" width="11.44140625" style="1263"/>
    <col min="7937" max="7937" width="10.109375" style="1263" customWidth="1"/>
    <col min="7938" max="7938" width="65" style="1263" bestFit="1" customWidth="1"/>
    <col min="7939" max="7940" width="5.33203125" style="1263" bestFit="1" customWidth="1"/>
    <col min="7941" max="7943" width="6.109375" style="1263" bestFit="1" customWidth="1"/>
    <col min="7944" max="7944" width="5.33203125" style="1263" bestFit="1" customWidth="1"/>
    <col min="7945" max="7945" width="7.44140625" style="1263" customWidth="1"/>
    <col min="7946" max="7946" width="7.5546875" style="1263" customWidth="1"/>
    <col min="7947" max="8192" width="11.44140625" style="1263"/>
    <col min="8193" max="8193" width="10.109375" style="1263" customWidth="1"/>
    <col min="8194" max="8194" width="65" style="1263" bestFit="1" customWidth="1"/>
    <col min="8195" max="8196" width="5.33203125" style="1263" bestFit="1" customWidth="1"/>
    <col min="8197" max="8199" width="6.109375" style="1263" bestFit="1" customWidth="1"/>
    <col min="8200" max="8200" width="5.33203125" style="1263" bestFit="1" customWidth="1"/>
    <col min="8201" max="8201" width="7.44140625" style="1263" customWidth="1"/>
    <col min="8202" max="8202" width="7.5546875" style="1263" customWidth="1"/>
    <col min="8203" max="8448" width="11.44140625" style="1263"/>
    <col min="8449" max="8449" width="10.109375" style="1263" customWidth="1"/>
    <col min="8450" max="8450" width="65" style="1263" bestFit="1" customWidth="1"/>
    <col min="8451" max="8452" width="5.33203125" style="1263" bestFit="1" customWidth="1"/>
    <col min="8453" max="8455" width="6.109375" style="1263" bestFit="1" customWidth="1"/>
    <col min="8456" max="8456" width="5.33203125" style="1263" bestFit="1" customWidth="1"/>
    <col min="8457" max="8457" width="7.44140625" style="1263" customWidth="1"/>
    <col min="8458" max="8458" width="7.5546875" style="1263" customWidth="1"/>
    <col min="8459" max="8704" width="11.44140625" style="1263"/>
    <col min="8705" max="8705" width="10.109375" style="1263" customWidth="1"/>
    <col min="8706" max="8706" width="65" style="1263" bestFit="1" customWidth="1"/>
    <col min="8707" max="8708" width="5.33203125" style="1263" bestFit="1" customWidth="1"/>
    <col min="8709" max="8711" width="6.109375" style="1263" bestFit="1" customWidth="1"/>
    <col min="8712" max="8712" width="5.33203125" style="1263" bestFit="1" customWidth="1"/>
    <col min="8713" max="8713" width="7.44140625" style="1263" customWidth="1"/>
    <col min="8714" max="8714" width="7.5546875" style="1263" customWidth="1"/>
    <col min="8715" max="8960" width="11.44140625" style="1263"/>
    <col min="8961" max="8961" width="10.109375" style="1263" customWidth="1"/>
    <col min="8962" max="8962" width="65" style="1263" bestFit="1" customWidth="1"/>
    <col min="8963" max="8964" width="5.33203125" style="1263" bestFit="1" customWidth="1"/>
    <col min="8965" max="8967" width="6.109375" style="1263" bestFit="1" customWidth="1"/>
    <col min="8968" max="8968" width="5.33203125" style="1263" bestFit="1" customWidth="1"/>
    <col min="8969" max="8969" width="7.44140625" style="1263" customWidth="1"/>
    <col min="8970" max="8970" width="7.5546875" style="1263" customWidth="1"/>
    <col min="8971" max="9216" width="11.44140625" style="1263"/>
    <col min="9217" max="9217" width="10.109375" style="1263" customWidth="1"/>
    <col min="9218" max="9218" width="65" style="1263" bestFit="1" customWidth="1"/>
    <col min="9219" max="9220" width="5.33203125" style="1263" bestFit="1" customWidth="1"/>
    <col min="9221" max="9223" width="6.109375" style="1263" bestFit="1" customWidth="1"/>
    <col min="9224" max="9224" width="5.33203125" style="1263" bestFit="1" customWidth="1"/>
    <col min="9225" max="9225" width="7.44140625" style="1263" customWidth="1"/>
    <col min="9226" max="9226" width="7.5546875" style="1263" customWidth="1"/>
    <col min="9227" max="9472" width="11.44140625" style="1263"/>
    <col min="9473" max="9473" width="10.109375" style="1263" customWidth="1"/>
    <col min="9474" max="9474" width="65" style="1263" bestFit="1" customWidth="1"/>
    <col min="9475" max="9476" width="5.33203125" style="1263" bestFit="1" customWidth="1"/>
    <col min="9477" max="9479" width="6.109375" style="1263" bestFit="1" customWidth="1"/>
    <col min="9480" max="9480" width="5.33203125" style="1263" bestFit="1" customWidth="1"/>
    <col min="9481" max="9481" width="7.44140625" style="1263" customWidth="1"/>
    <col min="9482" max="9482" width="7.5546875" style="1263" customWidth="1"/>
    <col min="9483" max="9728" width="11.44140625" style="1263"/>
    <col min="9729" max="9729" width="10.109375" style="1263" customWidth="1"/>
    <col min="9730" max="9730" width="65" style="1263" bestFit="1" customWidth="1"/>
    <col min="9731" max="9732" width="5.33203125" style="1263" bestFit="1" customWidth="1"/>
    <col min="9733" max="9735" width="6.109375" style="1263" bestFit="1" customWidth="1"/>
    <col min="9736" max="9736" width="5.33203125" style="1263" bestFit="1" customWidth="1"/>
    <col min="9737" max="9737" width="7.44140625" style="1263" customWidth="1"/>
    <col min="9738" max="9738" width="7.5546875" style="1263" customWidth="1"/>
    <col min="9739" max="9984" width="11.44140625" style="1263"/>
    <col min="9985" max="9985" width="10.109375" style="1263" customWidth="1"/>
    <col min="9986" max="9986" width="65" style="1263" bestFit="1" customWidth="1"/>
    <col min="9987" max="9988" width="5.33203125" style="1263" bestFit="1" customWidth="1"/>
    <col min="9989" max="9991" width="6.109375" style="1263" bestFit="1" customWidth="1"/>
    <col min="9992" max="9992" width="5.33203125" style="1263" bestFit="1" customWidth="1"/>
    <col min="9993" max="9993" width="7.44140625" style="1263" customWidth="1"/>
    <col min="9994" max="9994" width="7.5546875" style="1263" customWidth="1"/>
    <col min="9995" max="10240" width="11.44140625" style="1263"/>
    <col min="10241" max="10241" width="10.109375" style="1263" customWidth="1"/>
    <col min="10242" max="10242" width="65" style="1263" bestFit="1" customWidth="1"/>
    <col min="10243" max="10244" width="5.33203125" style="1263" bestFit="1" customWidth="1"/>
    <col min="10245" max="10247" width="6.109375" style="1263" bestFit="1" customWidth="1"/>
    <col min="10248" max="10248" width="5.33203125" style="1263" bestFit="1" customWidth="1"/>
    <col min="10249" max="10249" width="7.44140625" style="1263" customWidth="1"/>
    <col min="10250" max="10250" width="7.5546875" style="1263" customWidth="1"/>
    <col min="10251" max="10496" width="11.44140625" style="1263"/>
    <col min="10497" max="10497" width="10.109375" style="1263" customWidth="1"/>
    <col min="10498" max="10498" width="65" style="1263" bestFit="1" customWidth="1"/>
    <col min="10499" max="10500" width="5.33203125" style="1263" bestFit="1" customWidth="1"/>
    <col min="10501" max="10503" width="6.109375" style="1263" bestFit="1" customWidth="1"/>
    <col min="10504" max="10504" width="5.33203125" style="1263" bestFit="1" customWidth="1"/>
    <col min="10505" max="10505" width="7.44140625" style="1263" customWidth="1"/>
    <col min="10506" max="10506" width="7.5546875" style="1263" customWidth="1"/>
    <col min="10507" max="10752" width="11.44140625" style="1263"/>
    <col min="10753" max="10753" width="10.109375" style="1263" customWidth="1"/>
    <col min="10754" max="10754" width="65" style="1263" bestFit="1" customWidth="1"/>
    <col min="10755" max="10756" width="5.33203125" style="1263" bestFit="1" customWidth="1"/>
    <col min="10757" max="10759" width="6.109375" style="1263" bestFit="1" customWidth="1"/>
    <col min="10760" max="10760" width="5.33203125" style="1263" bestFit="1" customWidth="1"/>
    <col min="10761" max="10761" width="7.44140625" style="1263" customWidth="1"/>
    <col min="10762" max="10762" width="7.5546875" style="1263" customWidth="1"/>
    <col min="10763" max="11008" width="11.44140625" style="1263"/>
    <col min="11009" max="11009" width="10.109375" style="1263" customWidth="1"/>
    <col min="11010" max="11010" width="65" style="1263" bestFit="1" customWidth="1"/>
    <col min="11011" max="11012" width="5.33203125" style="1263" bestFit="1" customWidth="1"/>
    <col min="11013" max="11015" width="6.109375" style="1263" bestFit="1" customWidth="1"/>
    <col min="11016" max="11016" width="5.33203125" style="1263" bestFit="1" customWidth="1"/>
    <col min="11017" max="11017" width="7.44140625" style="1263" customWidth="1"/>
    <col min="11018" max="11018" width="7.5546875" style="1263" customWidth="1"/>
    <col min="11019" max="11264" width="11.44140625" style="1263"/>
    <col min="11265" max="11265" width="10.109375" style="1263" customWidth="1"/>
    <col min="11266" max="11266" width="65" style="1263" bestFit="1" customWidth="1"/>
    <col min="11267" max="11268" width="5.33203125" style="1263" bestFit="1" customWidth="1"/>
    <col min="11269" max="11271" width="6.109375" style="1263" bestFit="1" customWidth="1"/>
    <col min="11272" max="11272" width="5.33203125" style="1263" bestFit="1" customWidth="1"/>
    <col min="11273" max="11273" width="7.44140625" style="1263" customWidth="1"/>
    <col min="11274" max="11274" width="7.5546875" style="1263" customWidth="1"/>
    <col min="11275" max="11520" width="11.44140625" style="1263"/>
    <col min="11521" max="11521" width="10.109375" style="1263" customWidth="1"/>
    <col min="11522" max="11522" width="65" style="1263" bestFit="1" customWidth="1"/>
    <col min="11523" max="11524" width="5.33203125" style="1263" bestFit="1" customWidth="1"/>
    <col min="11525" max="11527" width="6.109375" style="1263" bestFit="1" customWidth="1"/>
    <col min="11528" max="11528" width="5.33203125" style="1263" bestFit="1" customWidth="1"/>
    <col min="11529" max="11529" width="7.44140625" style="1263" customWidth="1"/>
    <col min="11530" max="11530" width="7.5546875" style="1263" customWidth="1"/>
    <col min="11531" max="11776" width="11.44140625" style="1263"/>
    <col min="11777" max="11777" width="10.109375" style="1263" customWidth="1"/>
    <col min="11778" max="11778" width="65" style="1263" bestFit="1" customWidth="1"/>
    <col min="11779" max="11780" width="5.33203125" style="1263" bestFit="1" customWidth="1"/>
    <col min="11781" max="11783" width="6.109375" style="1263" bestFit="1" customWidth="1"/>
    <col min="11784" max="11784" width="5.33203125" style="1263" bestFit="1" customWidth="1"/>
    <col min="11785" max="11785" width="7.44140625" style="1263" customWidth="1"/>
    <col min="11786" max="11786" width="7.5546875" style="1263" customWidth="1"/>
    <col min="11787" max="12032" width="11.44140625" style="1263"/>
    <col min="12033" max="12033" width="10.109375" style="1263" customWidth="1"/>
    <col min="12034" max="12034" width="65" style="1263" bestFit="1" customWidth="1"/>
    <col min="12035" max="12036" width="5.33203125" style="1263" bestFit="1" customWidth="1"/>
    <col min="12037" max="12039" width="6.109375" style="1263" bestFit="1" customWidth="1"/>
    <col min="12040" max="12040" width="5.33203125" style="1263" bestFit="1" customWidth="1"/>
    <col min="12041" max="12041" width="7.44140625" style="1263" customWidth="1"/>
    <col min="12042" max="12042" width="7.5546875" style="1263" customWidth="1"/>
    <col min="12043" max="12288" width="11.44140625" style="1263"/>
    <col min="12289" max="12289" width="10.109375" style="1263" customWidth="1"/>
    <col min="12290" max="12290" width="65" style="1263" bestFit="1" customWidth="1"/>
    <col min="12291" max="12292" width="5.33203125" style="1263" bestFit="1" customWidth="1"/>
    <col min="12293" max="12295" width="6.109375" style="1263" bestFit="1" customWidth="1"/>
    <col min="12296" max="12296" width="5.33203125" style="1263" bestFit="1" customWidth="1"/>
    <col min="12297" max="12297" width="7.44140625" style="1263" customWidth="1"/>
    <col min="12298" max="12298" width="7.5546875" style="1263" customWidth="1"/>
    <col min="12299" max="12544" width="11.44140625" style="1263"/>
    <col min="12545" max="12545" width="10.109375" style="1263" customWidth="1"/>
    <col min="12546" max="12546" width="65" style="1263" bestFit="1" customWidth="1"/>
    <col min="12547" max="12548" width="5.33203125" style="1263" bestFit="1" customWidth="1"/>
    <col min="12549" max="12551" width="6.109375" style="1263" bestFit="1" customWidth="1"/>
    <col min="12552" max="12552" width="5.33203125" style="1263" bestFit="1" customWidth="1"/>
    <col min="12553" max="12553" width="7.44140625" style="1263" customWidth="1"/>
    <col min="12554" max="12554" width="7.5546875" style="1263" customWidth="1"/>
    <col min="12555" max="12800" width="11.44140625" style="1263"/>
    <col min="12801" max="12801" width="10.109375" style="1263" customWidth="1"/>
    <col min="12802" max="12802" width="65" style="1263" bestFit="1" customWidth="1"/>
    <col min="12803" max="12804" width="5.33203125" style="1263" bestFit="1" customWidth="1"/>
    <col min="12805" max="12807" width="6.109375" style="1263" bestFit="1" customWidth="1"/>
    <col min="12808" max="12808" width="5.33203125" style="1263" bestFit="1" customWidth="1"/>
    <col min="12809" max="12809" width="7.44140625" style="1263" customWidth="1"/>
    <col min="12810" max="12810" width="7.5546875" style="1263" customWidth="1"/>
    <col min="12811" max="13056" width="11.44140625" style="1263"/>
    <col min="13057" max="13057" width="10.109375" style="1263" customWidth="1"/>
    <col min="13058" max="13058" width="65" style="1263" bestFit="1" customWidth="1"/>
    <col min="13059" max="13060" width="5.33203125" style="1263" bestFit="1" customWidth="1"/>
    <col min="13061" max="13063" width="6.109375" style="1263" bestFit="1" customWidth="1"/>
    <col min="13064" max="13064" width="5.33203125" style="1263" bestFit="1" customWidth="1"/>
    <col min="13065" max="13065" width="7.44140625" style="1263" customWidth="1"/>
    <col min="13066" max="13066" width="7.5546875" style="1263" customWidth="1"/>
    <col min="13067" max="13312" width="11.44140625" style="1263"/>
    <col min="13313" max="13313" width="10.109375" style="1263" customWidth="1"/>
    <col min="13314" max="13314" width="65" style="1263" bestFit="1" customWidth="1"/>
    <col min="13315" max="13316" width="5.33203125" style="1263" bestFit="1" customWidth="1"/>
    <col min="13317" max="13319" width="6.109375" style="1263" bestFit="1" customWidth="1"/>
    <col min="13320" max="13320" width="5.33203125" style="1263" bestFit="1" customWidth="1"/>
    <col min="13321" max="13321" width="7.44140625" style="1263" customWidth="1"/>
    <col min="13322" max="13322" width="7.5546875" style="1263" customWidth="1"/>
    <col min="13323" max="13568" width="11.44140625" style="1263"/>
    <col min="13569" max="13569" width="10.109375" style="1263" customWidth="1"/>
    <col min="13570" max="13570" width="65" style="1263" bestFit="1" customWidth="1"/>
    <col min="13571" max="13572" width="5.33203125" style="1263" bestFit="1" customWidth="1"/>
    <col min="13573" max="13575" width="6.109375" style="1263" bestFit="1" customWidth="1"/>
    <col min="13576" max="13576" width="5.33203125" style="1263" bestFit="1" customWidth="1"/>
    <col min="13577" max="13577" width="7.44140625" style="1263" customWidth="1"/>
    <col min="13578" max="13578" width="7.5546875" style="1263" customWidth="1"/>
    <col min="13579" max="13824" width="11.44140625" style="1263"/>
    <col min="13825" max="13825" width="10.109375" style="1263" customWidth="1"/>
    <col min="13826" max="13826" width="65" style="1263" bestFit="1" customWidth="1"/>
    <col min="13827" max="13828" width="5.33203125" style="1263" bestFit="1" customWidth="1"/>
    <col min="13829" max="13831" width="6.109375" style="1263" bestFit="1" customWidth="1"/>
    <col min="13832" max="13832" width="5.33203125" style="1263" bestFit="1" customWidth="1"/>
    <col min="13833" max="13833" width="7.44140625" style="1263" customWidth="1"/>
    <col min="13834" max="13834" width="7.5546875" style="1263" customWidth="1"/>
    <col min="13835" max="14080" width="11.44140625" style="1263"/>
    <col min="14081" max="14081" width="10.109375" style="1263" customWidth="1"/>
    <col min="14082" max="14082" width="65" style="1263" bestFit="1" customWidth="1"/>
    <col min="14083" max="14084" width="5.33203125" style="1263" bestFit="1" customWidth="1"/>
    <col min="14085" max="14087" width="6.109375" style="1263" bestFit="1" customWidth="1"/>
    <col min="14088" max="14088" width="5.33203125" style="1263" bestFit="1" customWidth="1"/>
    <col min="14089" max="14089" width="7.44140625" style="1263" customWidth="1"/>
    <col min="14090" max="14090" width="7.5546875" style="1263" customWidth="1"/>
    <col min="14091" max="14336" width="11.44140625" style="1263"/>
    <col min="14337" max="14337" width="10.109375" style="1263" customWidth="1"/>
    <col min="14338" max="14338" width="65" style="1263" bestFit="1" customWidth="1"/>
    <col min="14339" max="14340" width="5.33203125" style="1263" bestFit="1" customWidth="1"/>
    <col min="14341" max="14343" width="6.109375" style="1263" bestFit="1" customWidth="1"/>
    <col min="14344" max="14344" width="5.33203125" style="1263" bestFit="1" customWidth="1"/>
    <col min="14345" max="14345" width="7.44140625" style="1263" customWidth="1"/>
    <col min="14346" max="14346" width="7.5546875" style="1263" customWidth="1"/>
    <col min="14347" max="14592" width="11.44140625" style="1263"/>
    <col min="14593" max="14593" width="10.109375" style="1263" customWidth="1"/>
    <col min="14594" max="14594" width="65" style="1263" bestFit="1" customWidth="1"/>
    <col min="14595" max="14596" width="5.33203125" style="1263" bestFit="1" customWidth="1"/>
    <col min="14597" max="14599" width="6.109375" style="1263" bestFit="1" customWidth="1"/>
    <col min="14600" max="14600" width="5.33203125" style="1263" bestFit="1" customWidth="1"/>
    <col min="14601" max="14601" width="7.44140625" style="1263" customWidth="1"/>
    <col min="14602" max="14602" width="7.5546875" style="1263" customWidth="1"/>
    <col min="14603" max="14848" width="11.44140625" style="1263"/>
    <col min="14849" max="14849" width="10.109375" style="1263" customWidth="1"/>
    <col min="14850" max="14850" width="65" style="1263" bestFit="1" customWidth="1"/>
    <col min="14851" max="14852" width="5.33203125" style="1263" bestFit="1" customWidth="1"/>
    <col min="14853" max="14855" width="6.109375" style="1263" bestFit="1" customWidth="1"/>
    <col min="14856" max="14856" width="5.33203125" style="1263" bestFit="1" customWidth="1"/>
    <col min="14857" max="14857" width="7.44140625" style="1263" customWidth="1"/>
    <col min="14858" max="14858" width="7.5546875" style="1263" customWidth="1"/>
    <col min="14859" max="15104" width="11.44140625" style="1263"/>
    <col min="15105" max="15105" width="10.109375" style="1263" customWidth="1"/>
    <col min="15106" max="15106" width="65" style="1263" bestFit="1" customWidth="1"/>
    <col min="15107" max="15108" width="5.33203125" style="1263" bestFit="1" customWidth="1"/>
    <col min="15109" max="15111" width="6.109375" style="1263" bestFit="1" customWidth="1"/>
    <col min="15112" max="15112" width="5.33203125" style="1263" bestFit="1" customWidth="1"/>
    <col min="15113" max="15113" width="7.44140625" style="1263" customWidth="1"/>
    <col min="15114" max="15114" width="7.5546875" style="1263" customWidth="1"/>
    <col min="15115" max="15360" width="11.44140625" style="1263"/>
    <col min="15361" max="15361" width="10.109375" style="1263" customWidth="1"/>
    <col min="15362" max="15362" width="65" style="1263" bestFit="1" customWidth="1"/>
    <col min="15363" max="15364" width="5.33203125" style="1263" bestFit="1" customWidth="1"/>
    <col min="15365" max="15367" width="6.109375" style="1263" bestFit="1" customWidth="1"/>
    <col min="15368" max="15368" width="5.33203125" style="1263" bestFit="1" customWidth="1"/>
    <col min="15369" max="15369" width="7.44140625" style="1263" customWidth="1"/>
    <col min="15370" max="15370" width="7.5546875" style="1263" customWidth="1"/>
    <col min="15371" max="15616" width="11.44140625" style="1263"/>
    <col min="15617" max="15617" width="10.109375" style="1263" customWidth="1"/>
    <col min="15618" max="15618" width="65" style="1263" bestFit="1" customWidth="1"/>
    <col min="15619" max="15620" width="5.33203125" style="1263" bestFit="1" customWidth="1"/>
    <col min="15621" max="15623" width="6.109375" style="1263" bestFit="1" customWidth="1"/>
    <col min="15624" max="15624" width="5.33203125" style="1263" bestFit="1" customWidth="1"/>
    <col min="15625" max="15625" width="7.44140625" style="1263" customWidth="1"/>
    <col min="15626" max="15626" width="7.5546875" style="1263" customWidth="1"/>
    <col min="15627" max="15872" width="11.44140625" style="1263"/>
    <col min="15873" max="15873" width="10.109375" style="1263" customWidth="1"/>
    <col min="15874" max="15874" width="65" style="1263" bestFit="1" customWidth="1"/>
    <col min="15875" max="15876" width="5.33203125" style="1263" bestFit="1" customWidth="1"/>
    <col min="15877" max="15879" width="6.109375" style="1263" bestFit="1" customWidth="1"/>
    <col min="15880" max="15880" width="5.33203125" style="1263" bestFit="1" customWidth="1"/>
    <col min="15881" max="15881" width="7.44140625" style="1263" customWidth="1"/>
    <col min="15882" max="15882" width="7.5546875" style="1263" customWidth="1"/>
    <col min="15883" max="16128" width="11.44140625" style="1263"/>
    <col min="16129" max="16129" width="10.109375" style="1263" customWidth="1"/>
    <col min="16130" max="16130" width="65" style="1263" bestFit="1" customWidth="1"/>
    <col min="16131" max="16132" width="5.33203125" style="1263" bestFit="1" customWidth="1"/>
    <col min="16133" max="16135" width="6.109375" style="1263" bestFit="1" customWidth="1"/>
    <col min="16136" max="16136" width="5.33203125" style="1263" bestFit="1" customWidth="1"/>
    <col min="16137" max="16137" width="7.44140625" style="1263" customWidth="1"/>
    <col min="16138" max="16138" width="7.5546875" style="1263" customWidth="1"/>
    <col min="16139" max="16384" width="11.44140625" style="1263"/>
  </cols>
  <sheetData>
    <row r="2" spans="1:11" ht="15.6">
      <c r="A2" s="2165" t="s">
        <v>713</v>
      </c>
      <c r="B2" s="2165"/>
      <c r="C2" s="2165"/>
      <c r="D2" s="2165"/>
      <c r="E2" s="2165"/>
      <c r="F2" s="2165"/>
      <c r="G2" s="2165"/>
      <c r="H2" s="2165"/>
      <c r="I2" s="2165"/>
      <c r="J2" s="2171"/>
    </row>
    <row r="4" spans="1:11" ht="17.399999999999999">
      <c r="A4" s="2169" t="s">
        <v>941</v>
      </c>
      <c r="B4" s="2169"/>
      <c r="C4" s="2169"/>
      <c r="D4" s="2169"/>
      <c r="E4" s="2169"/>
      <c r="F4" s="2169"/>
      <c r="G4" s="2169"/>
      <c r="H4" s="2169"/>
      <c r="I4" s="2169"/>
      <c r="J4" s="2171"/>
    </row>
    <row r="5" spans="1:11" ht="17.399999999999999">
      <c r="A5" s="2169" t="s">
        <v>250</v>
      </c>
      <c r="B5" s="2169"/>
      <c r="C5" s="2169"/>
      <c r="D5" s="2169"/>
      <c r="E5" s="2169"/>
      <c r="F5" s="2169"/>
      <c r="G5" s="2169"/>
      <c r="H5" s="2169"/>
      <c r="I5" s="2169"/>
      <c r="J5" s="2171"/>
    </row>
    <row r="6" spans="1:11" ht="13.8" thickBot="1">
      <c r="A6" s="1340"/>
      <c r="B6" s="1278"/>
    </row>
    <row r="7" spans="1:11">
      <c r="A7" s="1342" t="s">
        <v>8</v>
      </c>
      <c r="B7" s="1397" t="s">
        <v>248</v>
      </c>
      <c r="C7" s="1398">
        <v>2010</v>
      </c>
      <c r="D7" s="1398">
        <v>2011</v>
      </c>
      <c r="E7" s="1398">
        <v>2012</v>
      </c>
      <c r="F7" s="1398">
        <v>2013</v>
      </c>
      <c r="G7" s="1398">
        <v>2014</v>
      </c>
      <c r="H7" s="1398" t="s">
        <v>574</v>
      </c>
      <c r="I7" s="1398" t="s">
        <v>155</v>
      </c>
      <c r="J7" s="1399" t="s">
        <v>139</v>
      </c>
    </row>
    <row r="8" spans="1:11">
      <c r="A8" s="1352" t="s">
        <v>9</v>
      </c>
      <c r="B8" s="1353" t="s">
        <v>10</v>
      </c>
      <c r="C8" s="1400"/>
      <c r="D8" s="1400">
        <v>2</v>
      </c>
      <c r="E8" s="1400">
        <v>4</v>
      </c>
      <c r="F8" s="1400">
        <v>16</v>
      </c>
      <c r="G8" s="1400">
        <v>35</v>
      </c>
      <c r="H8" s="1400"/>
      <c r="I8" s="1401">
        <f>SUM(C8:H8)</f>
        <v>57</v>
      </c>
      <c r="J8" s="1402">
        <f t="shared" ref="J8:J63" si="0">G8/I8</f>
        <v>0.61403508771929827</v>
      </c>
      <c r="K8" s="1263" t="s">
        <v>9</v>
      </c>
    </row>
    <row r="9" spans="1:11">
      <c r="A9" s="1352" t="s">
        <v>11</v>
      </c>
      <c r="B9" s="1353" t="s">
        <v>12</v>
      </c>
      <c r="C9" s="1403">
        <v>1</v>
      </c>
      <c r="D9" s="1403">
        <v>1</v>
      </c>
      <c r="E9" s="1403"/>
      <c r="F9" s="1403">
        <v>5</v>
      </c>
      <c r="G9" s="1403">
        <v>25</v>
      </c>
      <c r="H9" s="1403"/>
      <c r="I9" s="1401">
        <f t="shared" ref="I9:I63" si="1">SUM(C9:H9)</f>
        <v>32</v>
      </c>
      <c r="J9" s="1404">
        <f t="shared" si="0"/>
        <v>0.78125</v>
      </c>
      <c r="K9" s="1263" t="s">
        <v>11</v>
      </c>
    </row>
    <row r="10" spans="1:11">
      <c r="A10" s="1352" t="s">
        <v>13</v>
      </c>
      <c r="B10" s="1353" t="s">
        <v>14</v>
      </c>
      <c r="C10" s="1403"/>
      <c r="D10" s="1403"/>
      <c r="E10" s="1403">
        <v>2</v>
      </c>
      <c r="F10" s="1403"/>
      <c r="G10" s="1403">
        <v>2</v>
      </c>
      <c r="H10" s="1403"/>
      <c r="I10" s="1401">
        <f t="shared" si="1"/>
        <v>4</v>
      </c>
      <c r="J10" s="1404">
        <f t="shared" si="0"/>
        <v>0.5</v>
      </c>
      <c r="K10" s="1263" t="s">
        <v>13</v>
      </c>
    </row>
    <row r="11" spans="1:11">
      <c r="A11" s="1352" t="s">
        <v>15</v>
      </c>
      <c r="B11" s="1353" t="s">
        <v>16</v>
      </c>
      <c r="C11" s="1403">
        <v>1</v>
      </c>
      <c r="D11" s="1403">
        <v>1</v>
      </c>
      <c r="E11" s="1403">
        <v>2</v>
      </c>
      <c r="F11" s="1403">
        <v>3</v>
      </c>
      <c r="G11" s="1403">
        <v>10</v>
      </c>
      <c r="H11" s="1403"/>
      <c r="I11" s="1401">
        <f t="shared" si="1"/>
        <v>17</v>
      </c>
      <c r="J11" s="1404">
        <f t="shared" si="0"/>
        <v>0.58823529411764708</v>
      </c>
      <c r="K11" s="1263" t="s">
        <v>15</v>
      </c>
    </row>
    <row r="12" spans="1:11">
      <c r="A12" s="1352" t="s">
        <v>17</v>
      </c>
      <c r="B12" s="1353" t="s">
        <v>18</v>
      </c>
      <c r="C12" s="1403"/>
      <c r="D12" s="1403">
        <v>1</v>
      </c>
      <c r="E12" s="1403">
        <v>8</v>
      </c>
      <c r="F12" s="1403">
        <v>8</v>
      </c>
      <c r="G12" s="1403">
        <v>21</v>
      </c>
      <c r="H12" s="1403"/>
      <c r="I12" s="1401">
        <f t="shared" si="1"/>
        <v>38</v>
      </c>
      <c r="J12" s="1404">
        <f t="shared" si="0"/>
        <v>0.55263157894736847</v>
      </c>
      <c r="K12" s="1263" t="s">
        <v>17</v>
      </c>
    </row>
    <row r="13" spans="1:11">
      <c r="A13" s="1352" t="s">
        <v>19</v>
      </c>
      <c r="B13" s="1353" t="s">
        <v>20</v>
      </c>
      <c r="C13" s="1403">
        <v>2</v>
      </c>
      <c r="D13" s="1403">
        <v>2</v>
      </c>
      <c r="E13" s="1403">
        <v>7</v>
      </c>
      <c r="F13" s="1403">
        <v>14</v>
      </c>
      <c r="G13" s="1403">
        <v>47</v>
      </c>
      <c r="H13" s="1403"/>
      <c r="I13" s="1401">
        <f t="shared" si="1"/>
        <v>72</v>
      </c>
      <c r="J13" s="1404">
        <f t="shared" si="0"/>
        <v>0.65277777777777779</v>
      </c>
      <c r="K13" s="1263" t="s">
        <v>19</v>
      </c>
    </row>
    <row r="14" spans="1:11">
      <c r="A14" s="1352" t="s">
        <v>21</v>
      </c>
      <c r="B14" s="1353" t="s">
        <v>22</v>
      </c>
      <c r="C14" s="1403">
        <v>2</v>
      </c>
      <c r="D14" s="1403">
        <v>1</v>
      </c>
      <c r="E14" s="1403">
        <v>2</v>
      </c>
      <c r="F14" s="1403">
        <v>7</v>
      </c>
      <c r="G14" s="1403">
        <v>14</v>
      </c>
      <c r="H14" s="1403"/>
      <c r="I14" s="1401">
        <f t="shared" si="1"/>
        <v>26</v>
      </c>
      <c r="J14" s="1404">
        <f t="shared" si="0"/>
        <v>0.53846153846153844</v>
      </c>
      <c r="K14" s="1263" t="s">
        <v>21</v>
      </c>
    </row>
    <row r="15" spans="1:11">
      <c r="A15" s="1352" t="s">
        <v>23</v>
      </c>
      <c r="B15" s="1353" t="s">
        <v>24</v>
      </c>
      <c r="C15" s="1403">
        <v>1</v>
      </c>
      <c r="D15" s="1403">
        <v>2</v>
      </c>
      <c r="E15" s="1403"/>
      <c r="F15" s="1403">
        <v>2</v>
      </c>
      <c r="G15" s="1403">
        <v>4</v>
      </c>
      <c r="H15" s="1403"/>
      <c r="I15" s="1401">
        <f t="shared" si="1"/>
        <v>9</v>
      </c>
      <c r="J15" s="1404">
        <f t="shared" si="0"/>
        <v>0.44444444444444442</v>
      </c>
      <c r="K15" s="1263" t="s">
        <v>23</v>
      </c>
    </row>
    <row r="16" spans="1:11">
      <c r="A16" s="1352" t="s">
        <v>25</v>
      </c>
      <c r="B16" s="1353" t="s">
        <v>26</v>
      </c>
      <c r="C16" s="1403"/>
      <c r="D16" s="1403"/>
      <c r="E16" s="1403">
        <v>1</v>
      </c>
      <c r="F16" s="1403">
        <v>4</v>
      </c>
      <c r="G16" s="1403">
        <v>6</v>
      </c>
      <c r="H16" s="1403"/>
      <c r="I16" s="1401">
        <f t="shared" si="1"/>
        <v>11</v>
      </c>
      <c r="J16" s="1404">
        <f t="shared" si="0"/>
        <v>0.54545454545454541</v>
      </c>
      <c r="K16" s="1263" t="s">
        <v>25</v>
      </c>
    </row>
    <row r="17" spans="1:11">
      <c r="A17" s="1352" t="s">
        <v>27</v>
      </c>
      <c r="B17" s="1353" t="s">
        <v>28</v>
      </c>
      <c r="C17" s="1403">
        <v>1</v>
      </c>
      <c r="D17" s="1403">
        <v>1</v>
      </c>
      <c r="E17" s="1403">
        <v>2</v>
      </c>
      <c r="F17" s="1403">
        <v>1</v>
      </c>
      <c r="G17" s="1403">
        <v>2</v>
      </c>
      <c r="H17" s="1403"/>
      <c r="I17" s="1401">
        <f t="shared" si="1"/>
        <v>7</v>
      </c>
      <c r="J17" s="1404">
        <f t="shared" si="0"/>
        <v>0.2857142857142857</v>
      </c>
      <c r="K17" s="1263" t="s">
        <v>27</v>
      </c>
    </row>
    <row r="18" spans="1:11">
      <c r="A18" s="1352" t="s">
        <v>29</v>
      </c>
      <c r="B18" s="1353" t="s">
        <v>30</v>
      </c>
      <c r="C18" s="1403">
        <v>1</v>
      </c>
      <c r="D18" s="1403">
        <v>9</v>
      </c>
      <c r="E18" s="1403">
        <v>4</v>
      </c>
      <c r="F18" s="1403">
        <v>11</v>
      </c>
      <c r="G18" s="1403">
        <v>23</v>
      </c>
      <c r="H18" s="1403"/>
      <c r="I18" s="1401">
        <f t="shared" si="1"/>
        <v>48</v>
      </c>
      <c r="J18" s="1404">
        <f t="shared" si="0"/>
        <v>0.47916666666666669</v>
      </c>
      <c r="K18" s="1263" t="s">
        <v>29</v>
      </c>
    </row>
    <row r="19" spans="1:11">
      <c r="A19" s="1352" t="s">
        <v>31</v>
      </c>
      <c r="B19" s="1353" t="s">
        <v>32</v>
      </c>
      <c r="C19" s="1403"/>
      <c r="D19" s="1403">
        <v>1</v>
      </c>
      <c r="E19" s="1403"/>
      <c r="F19" s="1403">
        <v>3</v>
      </c>
      <c r="G19" s="1403">
        <v>1</v>
      </c>
      <c r="H19" s="1403"/>
      <c r="I19" s="1401">
        <f t="shared" si="1"/>
        <v>5</v>
      </c>
      <c r="J19" s="1404">
        <f t="shared" si="0"/>
        <v>0.2</v>
      </c>
      <c r="K19" s="1263" t="s">
        <v>31</v>
      </c>
    </row>
    <row r="20" spans="1:11">
      <c r="A20" s="1352" t="s">
        <v>33</v>
      </c>
      <c r="B20" s="1353" t="s">
        <v>34</v>
      </c>
      <c r="C20" s="1403"/>
      <c r="D20" s="1403"/>
      <c r="E20" s="1403">
        <v>1</v>
      </c>
      <c r="F20" s="1403"/>
      <c r="G20" s="1403"/>
      <c r="H20" s="1403"/>
      <c r="I20" s="1401">
        <f t="shared" si="1"/>
        <v>1</v>
      </c>
      <c r="J20" s="1404">
        <f t="shared" si="0"/>
        <v>0</v>
      </c>
      <c r="K20" s="1263" t="s">
        <v>33</v>
      </c>
    </row>
    <row r="21" spans="1:11" ht="26.4">
      <c r="A21" s="1352" t="s">
        <v>35</v>
      </c>
      <c r="B21" s="1353" t="s">
        <v>36</v>
      </c>
      <c r="C21" s="1403"/>
      <c r="D21" s="1403">
        <v>2</v>
      </c>
      <c r="E21" s="1403">
        <v>6</v>
      </c>
      <c r="F21" s="1403">
        <v>9</v>
      </c>
      <c r="G21" s="1403">
        <v>9</v>
      </c>
      <c r="H21" s="1403"/>
      <c r="I21" s="1401">
        <f t="shared" si="1"/>
        <v>26</v>
      </c>
      <c r="J21" s="1404">
        <f t="shared" si="0"/>
        <v>0.34615384615384615</v>
      </c>
      <c r="K21" s="1263" t="s">
        <v>35</v>
      </c>
    </row>
    <row r="22" spans="1:11" ht="26.4">
      <c r="A22" s="1352" t="s">
        <v>37</v>
      </c>
      <c r="B22" s="1353" t="s">
        <v>122</v>
      </c>
      <c r="C22" s="1403">
        <v>2</v>
      </c>
      <c r="D22" s="1403"/>
      <c r="E22" s="1403">
        <v>4</v>
      </c>
      <c r="F22" s="1403">
        <v>5</v>
      </c>
      <c r="G22" s="1403">
        <v>4</v>
      </c>
      <c r="H22" s="1403"/>
      <c r="I22" s="1401">
        <f t="shared" si="1"/>
        <v>15</v>
      </c>
      <c r="J22" s="1404">
        <f t="shared" si="0"/>
        <v>0.26666666666666666</v>
      </c>
      <c r="K22" s="1263" t="s">
        <v>37</v>
      </c>
    </row>
    <row r="23" spans="1:11">
      <c r="A23" s="1352" t="s">
        <v>38</v>
      </c>
      <c r="B23" s="1353" t="s">
        <v>39</v>
      </c>
      <c r="C23" s="1403"/>
      <c r="D23" s="1403">
        <v>1</v>
      </c>
      <c r="E23" s="1403">
        <v>5</v>
      </c>
      <c r="F23" s="1403">
        <v>21</v>
      </c>
      <c r="G23" s="1403">
        <v>21</v>
      </c>
      <c r="H23" s="1403"/>
      <c r="I23" s="1401">
        <f t="shared" si="1"/>
        <v>48</v>
      </c>
      <c r="J23" s="1404">
        <f t="shared" si="0"/>
        <v>0.4375</v>
      </c>
      <c r="K23" s="1263" t="s">
        <v>38</v>
      </c>
    </row>
    <row r="24" spans="1:11">
      <c r="A24" s="1352" t="s">
        <v>40</v>
      </c>
      <c r="B24" s="1353" t="s">
        <v>41</v>
      </c>
      <c r="C24" s="1403">
        <v>1</v>
      </c>
      <c r="D24" s="1403">
        <v>2</v>
      </c>
      <c r="E24" s="1403">
        <v>3</v>
      </c>
      <c r="F24" s="1403">
        <v>2</v>
      </c>
      <c r="G24" s="1403">
        <v>4</v>
      </c>
      <c r="H24" s="1403"/>
      <c r="I24" s="1401">
        <f t="shared" si="1"/>
        <v>12</v>
      </c>
      <c r="J24" s="1404">
        <f t="shared" si="0"/>
        <v>0.33333333333333331</v>
      </c>
      <c r="K24" s="1263" t="s">
        <v>40</v>
      </c>
    </row>
    <row r="25" spans="1:11" ht="39.6">
      <c r="A25" s="1352" t="s">
        <v>42</v>
      </c>
      <c r="B25" s="1353" t="s">
        <v>230</v>
      </c>
      <c r="C25" s="1403"/>
      <c r="D25" s="1403">
        <v>6</v>
      </c>
      <c r="E25" s="1403">
        <v>7</v>
      </c>
      <c r="F25" s="1403">
        <v>9</v>
      </c>
      <c r="G25" s="1403">
        <v>8</v>
      </c>
      <c r="H25" s="1403"/>
      <c r="I25" s="1401">
        <f t="shared" si="1"/>
        <v>30</v>
      </c>
      <c r="J25" s="1404">
        <f t="shared" si="0"/>
        <v>0.26666666666666666</v>
      </c>
      <c r="K25" s="1263" t="s">
        <v>42</v>
      </c>
    </row>
    <row r="26" spans="1:11">
      <c r="A26" s="1352" t="s">
        <v>43</v>
      </c>
      <c r="B26" s="1353" t="s">
        <v>44</v>
      </c>
      <c r="C26" s="1403">
        <v>1</v>
      </c>
      <c r="D26" s="1403">
        <v>1</v>
      </c>
      <c r="E26" s="1403">
        <v>3</v>
      </c>
      <c r="F26" s="1403">
        <v>9</v>
      </c>
      <c r="G26" s="1403">
        <v>14</v>
      </c>
      <c r="H26" s="1403"/>
      <c r="I26" s="1401">
        <f t="shared" si="1"/>
        <v>28</v>
      </c>
      <c r="J26" s="1404">
        <f t="shared" si="0"/>
        <v>0.5</v>
      </c>
      <c r="K26" s="1263" t="s">
        <v>43</v>
      </c>
    </row>
    <row r="27" spans="1:11">
      <c r="A27" s="1352" t="s">
        <v>45</v>
      </c>
      <c r="B27" s="1353" t="s">
        <v>320</v>
      </c>
      <c r="C27" s="1403"/>
      <c r="D27" s="1403">
        <v>2</v>
      </c>
      <c r="E27" s="1403">
        <v>2</v>
      </c>
      <c r="F27" s="1403"/>
      <c r="G27" s="1403">
        <v>1</v>
      </c>
      <c r="H27" s="1403"/>
      <c r="I27" s="1401">
        <f t="shared" si="1"/>
        <v>5</v>
      </c>
      <c r="J27" s="1404">
        <f t="shared" si="0"/>
        <v>0.2</v>
      </c>
      <c r="K27" s="1263" t="s">
        <v>45</v>
      </c>
    </row>
    <row r="28" spans="1:11" ht="26.4">
      <c r="A28" s="1352" t="s">
        <v>46</v>
      </c>
      <c r="B28" s="1353" t="s">
        <v>231</v>
      </c>
      <c r="C28" s="1403">
        <v>1</v>
      </c>
      <c r="D28" s="1403">
        <v>1</v>
      </c>
      <c r="E28" s="1403">
        <v>5</v>
      </c>
      <c r="F28" s="1403">
        <v>5</v>
      </c>
      <c r="G28" s="1403">
        <v>3</v>
      </c>
      <c r="H28" s="1403"/>
      <c r="I28" s="1401">
        <f t="shared" si="1"/>
        <v>15</v>
      </c>
      <c r="J28" s="1404">
        <f t="shared" si="0"/>
        <v>0.2</v>
      </c>
      <c r="K28" s="1263" t="s">
        <v>46</v>
      </c>
    </row>
    <row r="29" spans="1:11" ht="26.4">
      <c r="A29" s="1352">
        <v>22</v>
      </c>
      <c r="B29" s="1353" t="s">
        <v>232</v>
      </c>
      <c r="C29" s="1403">
        <v>1</v>
      </c>
      <c r="D29" s="1945">
        <v>4</v>
      </c>
      <c r="E29" s="1403">
        <v>9</v>
      </c>
      <c r="F29" s="1403">
        <v>12</v>
      </c>
      <c r="G29" s="1403">
        <v>11</v>
      </c>
      <c r="H29" s="1403"/>
      <c r="I29" s="1401">
        <f>SUM(C29:H29)</f>
        <v>37</v>
      </c>
      <c r="J29" s="1404">
        <f t="shared" si="0"/>
        <v>0.29729729729729731</v>
      </c>
      <c r="K29" s="1263" t="s">
        <v>47</v>
      </c>
    </row>
    <row r="30" spans="1:11">
      <c r="A30" s="1352" t="s">
        <v>48</v>
      </c>
      <c r="B30" s="1353" t="s">
        <v>49</v>
      </c>
      <c r="C30" s="1403"/>
      <c r="D30" s="1403">
        <v>1</v>
      </c>
      <c r="E30" s="1403">
        <v>4</v>
      </c>
      <c r="F30" s="1403">
        <v>4</v>
      </c>
      <c r="G30" s="1403">
        <v>9</v>
      </c>
      <c r="H30" s="1403"/>
      <c r="I30" s="1401">
        <f t="shared" si="1"/>
        <v>18</v>
      </c>
      <c r="J30" s="1404">
        <f t="shared" si="0"/>
        <v>0.5</v>
      </c>
      <c r="K30" s="1263" t="s">
        <v>48</v>
      </c>
    </row>
    <row r="31" spans="1:11">
      <c r="A31" s="1352" t="s">
        <v>50</v>
      </c>
      <c r="B31" s="1353" t="s">
        <v>51</v>
      </c>
      <c r="C31" s="1403"/>
      <c r="D31" s="1403">
        <v>1</v>
      </c>
      <c r="E31" s="1403">
        <v>1</v>
      </c>
      <c r="F31" s="1403">
        <v>3</v>
      </c>
      <c r="G31" s="1403">
        <v>1</v>
      </c>
      <c r="H31" s="1403"/>
      <c r="I31" s="1401">
        <f t="shared" si="1"/>
        <v>6</v>
      </c>
      <c r="J31" s="1404">
        <f t="shared" si="0"/>
        <v>0.16666666666666666</v>
      </c>
      <c r="K31" s="1263" t="s">
        <v>50</v>
      </c>
    </row>
    <row r="32" spans="1:11">
      <c r="A32" s="1352" t="s">
        <v>52</v>
      </c>
      <c r="B32" s="1353" t="s">
        <v>53</v>
      </c>
      <c r="C32" s="1403"/>
      <c r="D32" s="1403">
        <v>2</v>
      </c>
      <c r="E32" s="1403">
        <v>1</v>
      </c>
      <c r="F32" s="1403">
        <v>6</v>
      </c>
      <c r="G32" s="1403">
        <v>7</v>
      </c>
      <c r="H32" s="1403"/>
      <c r="I32" s="1401">
        <f t="shared" si="1"/>
        <v>16</v>
      </c>
      <c r="J32" s="1404">
        <f t="shared" si="0"/>
        <v>0.4375</v>
      </c>
      <c r="K32" s="1263" t="s">
        <v>52</v>
      </c>
    </row>
    <row r="33" spans="1:19">
      <c r="A33" s="1352" t="s">
        <v>54</v>
      </c>
      <c r="B33" s="1353" t="s">
        <v>55</v>
      </c>
      <c r="C33" s="1403">
        <v>1</v>
      </c>
      <c r="D33" s="1403">
        <v>1</v>
      </c>
      <c r="E33" s="1403">
        <v>3</v>
      </c>
      <c r="F33" s="1403">
        <v>16</v>
      </c>
      <c r="G33" s="1403">
        <v>23</v>
      </c>
      <c r="H33" s="1403"/>
      <c r="I33" s="1401">
        <f t="shared" si="1"/>
        <v>44</v>
      </c>
      <c r="J33" s="1404">
        <f t="shared" si="0"/>
        <v>0.52272727272727271</v>
      </c>
      <c r="K33" s="1263" t="s">
        <v>54</v>
      </c>
    </row>
    <row r="34" spans="1:19">
      <c r="A34" s="1352" t="s">
        <v>56</v>
      </c>
      <c r="B34" s="1353" t="s">
        <v>57</v>
      </c>
      <c r="C34" s="1403">
        <v>1</v>
      </c>
      <c r="D34" s="1403">
        <v>10</v>
      </c>
      <c r="E34" s="1403">
        <v>14</v>
      </c>
      <c r="F34" s="1403">
        <v>22</v>
      </c>
      <c r="G34" s="1403">
        <v>33</v>
      </c>
      <c r="H34" s="1403"/>
      <c r="I34" s="1401">
        <f t="shared" si="1"/>
        <v>80</v>
      </c>
      <c r="J34" s="1404">
        <f t="shared" si="0"/>
        <v>0.41249999999999998</v>
      </c>
      <c r="K34" s="1263" t="s">
        <v>56</v>
      </c>
    </row>
    <row r="35" spans="1:19">
      <c r="A35" s="1352" t="s">
        <v>58</v>
      </c>
      <c r="B35" s="1353" t="s">
        <v>59</v>
      </c>
      <c r="C35" s="1403"/>
      <c r="D35" s="1403">
        <v>3</v>
      </c>
      <c r="E35" s="1403">
        <v>6</v>
      </c>
      <c r="F35" s="1403">
        <v>5</v>
      </c>
      <c r="G35" s="1403">
        <v>7</v>
      </c>
      <c r="H35" s="1403">
        <v>1</v>
      </c>
      <c r="I35" s="1401">
        <f t="shared" si="1"/>
        <v>22</v>
      </c>
      <c r="J35" s="1404">
        <f t="shared" si="0"/>
        <v>0.31818181818181818</v>
      </c>
      <c r="K35" s="1263" t="s">
        <v>58</v>
      </c>
    </row>
    <row r="36" spans="1:19">
      <c r="A36" s="1352" t="s">
        <v>60</v>
      </c>
      <c r="B36" s="1353" t="s">
        <v>61</v>
      </c>
      <c r="C36" s="1403">
        <v>1</v>
      </c>
      <c r="D36" s="1403"/>
      <c r="E36" s="1403">
        <v>1</v>
      </c>
      <c r="F36" s="1403"/>
      <c r="G36" s="1403">
        <v>3</v>
      </c>
      <c r="H36" s="1403"/>
      <c r="I36" s="1401">
        <f t="shared" si="1"/>
        <v>5</v>
      </c>
      <c r="J36" s="1404">
        <f t="shared" si="0"/>
        <v>0.6</v>
      </c>
      <c r="K36" s="1263" t="s">
        <v>60</v>
      </c>
    </row>
    <row r="37" spans="1:19">
      <c r="A37" s="1352" t="s">
        <v>62</v>
      </c>
      <c r="B37" s="1353" t="s">
        <v>63</v>
      </c>
      <c r="C37" s="1403"/>
      <c r="D37" s="1403">
        <v>1</v>
      </c>
      <c r="E37" s="1403">
        <v>2</v>
      </c>
      <c r="F37" s="1403">
        <v>4</v>
      </c>
      <c r="G37" s="1403">
        <v>3</v>
      </c>
      <c r="H37" s="1403"/>
      <c r="I37" s="1401">
        <f t="shared" si="1"/>
        <v>10</v>
      </c>
      <c r="J37" s="1404">
        <f t="shared" si="0"/>
        <v>0.3</v>
      </c>
      <c r="K37" s="1263" t="s">
        <v>62</v>
      </c>
    </row>
    <row r="38" spans="1:19">
      <c r="A38" s="1352" t="s">
        <v>64</v>
      </c>
      <c r="B38" s="1353" t="s">
        <v>65</v>
      </c>
      <c r="C38" s="1403"/>
      <c r="D38" s="1403">
        <v>2</v>
      </c>
      <c r="E38" s="1403">
        <v>1</v>
      </c>
      <c r="F38" s="1403">
        <v>2</v>
      </c>
      <c r="G38" s="1403">
        <v>4</v>
      </c>
      <c r="H38" s="1403"/>
      <c r="I38" s="1401">
        <f t="shared" si="1"/>
        <v>9</v>
      </c>
      <c r="J38" s="1404">
        <f t="shared" si="0"/>
        <v>0.44444444444444442</v>
      </c>
      <c r="K38" s="1263" t="s">
        <v>64</v>
      </c>
    </row>
    <row r="39" spans="1:19">
      <c r="A39" s="1352" t="s">
        <v>66</v>
      </c>
      <c r="B39" s="1353" t="s">
        <v>67</v>
      </c>
      <c r="C39" s="1403"/>
      <c r="D39" s="1403"/>
      <c r="E39" s="1403">
        <v>5</v>
      </c>
      <c r="F39" s="1403">
        <v>2</v>
      </c>
      <c r="G39" s="1403">
        <v>1</v>
      </c>
      <c r="H39" s="1403"/>
      <c r="I39" s="1401">
        <f t="shared" si="1"/>
        <v>8</v>
      </c>
      <c r="J39" s="1404">
        <f t="shared" si="0"/>
        <v>0.125</v>
      </c>
      <c r="K39" s="1263" t="s">
        <v>66</v>
      </c>
      <c r="Q39" s="1765">
        <f>495/1127</f>
        <v>0.43921916592724047</v>
      </c>
      <c r="S39" s="1765">
        <f>(G65+F65)/1127</f>
        <v>0.7160603371783496</v>
      </c>
    </row>
    <row r="40" spans="1:19">
      <c r="A40" s="1352" t="s">
        <v>68</v>
      </c>
      <c r="B40" s="1353" t="s">
        <v>69</v>
      </c>
      <c r="C40" s="1403">
        <v>1</v>
      </c>
      <c r="D40" s="1403">
        <v>1</v>
      </c>
      <c r="E40" s="1403">
        <v>2</v>
      </c>
      <c r="F40" s="1403">
        <v>5</v>
      </c>
      <c r="G40" s="1403">
        <v>4</v>
      </c>
      <c r="H40" s="1403"/>
      <c r="I40" s="1401">
        <f t="shared" si="1"/>
        <v>13</v>
      </c>
      <c r="J40" s="1404">
        <f t="shared" si="0"/>
        <v>0.30769230769230771</v>
      </c>
      <c r="K40" s="1263" t="s">
        <v>68</v>
      </c>
    </row>
    <row r="41" spans="1:19">
      <c r="A41" s="1352" t="s">
        <v>70</v>
      </c>
      <c r="B41" s="1353" t="s">
        <v>71</v>
      </c>
      <c r="C41" s="1403">
        <v>1</v>
      </c>
      <c r="D41" s="1403"/>
      <c r="E41" s="1403">
        <v>1</v>
      </c>
      <c r="F41" s="1403"/>
      <c r="G41" s="1403"/>
      <c r="H41" s="1403"/>
      <c r="I41" s="1401">
        <f t="shared" si="1"/>
        <v>2</v>
      </c>
      <c r="J41" s="1404">
        <f t="shared" si="0"/>
        <v>0</v>
      </c>
      <c r="K41" s="1263" t="s">
        <v>70</v>
      </c>
    </row>
    <row r="42" spans="1:19">
      <c r="A42" s="1352" t="s">
        <v>72</v>
      </c>
      <c r="B42" s="1353" t="s">
        <v>73</v>
      </c>
      <c r="C42" s="1403">
        <v>1</v>
      </c>
      <c r="D42" s="1403">
        <v>1</v>
      </c>
      <c r="E42" s="1403">
        <v>2</v>
      </c>
      <c r="F42" s="1403">
        <v>3</v>
      </c>
      <c r="G42" s="1403">
        <v>3</v>
      </c>
      <c r="H42" s="1403"/>
      <c r="I42" s="1401">
        <f t="shared" si="1"/>
        <v>10</v>
      </c>
      <c r="J42" s="1404">
        <f t="shared" si="0"/>
        <v>0.3</v>
      </c>
      <c r="K42" s="1263" t="s">
        <v>72</v>
      </c>
      <c r="Q42" s="1765">
        <f>F65/1127</f>
        <v>0.27684117125110913</v>
      </c>
    </row>
    <row r="43" spans="1:19">
      <c r="A43" s="1352" t="s">
        <v>74</v>
      </c>
      <c r="B43" s="1353" t="s">
        <v>75</v>
      </c>
      <c r="C43" s="1403"/>
      <c r="D43" s="1403"/>
      <c r="E43" s="1403">
        <v>1</v>
      </c>
      <c r="F43" s="1403">
        <v>3</v>
      </c>
      <c r="G43" s="1403">
        <v>4</v>
      </c>
      <c r="H43" s="1403"/>
      <c r="I43" s="1401">
        <f t="shared" si="1"/>
        <v>8</v>
      </c>
      <c r="J43" s="1404">
        <f t="shared" si="0"/>
        <v>0.5</v>
      </c>
      <c r="K43" s="1263" t="s">
        <v>74</v>
      </c>
    </row>
    <row r="44" spans="1:19">
      <c r="A44" s="1352" t="s">
        <v>76</v>
      </c>
      <c r="B44" s="1353" t="s">
        <v>77</v>
      </c>
      <c r="C44" s="1403"/>
      <c r="D44" s="1403"/>
      <c r="E44" s="1403"/>
      <c r="F44" s="1403"/>
      <c r="G44" s="1403">
        <v>1</v>
      </c>
      <c r="H44" s="1403"/>
      <c r="I44" s="1401">
        <f t="shared" si="1"/>
        <v>1</v>
      </c>
      <c r="J44" s="1404">
        <f t="shared" si="0"/>
        <v>1</v>
      </c>
      <c r="K44" s="1263" t="s">
        <v>76</v>
      </c>
      <c r="Q44" s="1765">
        <f>E65/1127</f>
        <v>0.15527950310559005</v>
      </c>
    </row>
    <row r="45" spans="1:19">
      <c r="A45" s="1352" t="s">
        <v>78</v>
      </c>
      <c r="B45" s="1353" t="s">
        <v>79</v>
      </c>
      <c r="C45" s="1403">
        <v>2</v>
      </c>
      <c r="D45" s="1403">
        <v>1</v>
      </c>
      <c r="E45" s="1403">
        <v>7</v>
      </c>
      <c r="F45" s="1403">
        <v>18</v>
      </c>
      <c r="G45" s="1403">
        <v>25</v>
      </c>
      <c r="H45" s="1403"/>
      <c r="I45" s="1401">
        <f t="shared" si="1"/>
        <v>53</v>
      </c>
      <c r="J45" s="1404">
        <f t="shared" si="0"/>
        <v>0.47169811320754718</v>
      </c>
      <c r="K45" s="1263" t="s">
        <v>78</v>
      </c>
    </row>
    <row r="46" spans="1:19">
      <c r="A46" s="1352" t="s">
        <v>80</v>
      </c>
      <c r="B46" s="1353" t="s">
        <v>81</v>
      </c>
      <c r="C46" s="1403">
        <v>1</v>
      </c>
      <c r="D46" s="1403">
        <v>1</v>
      </c>
      <c r="E46" s="1403">
        <v>3</v>
      </c>
      <c r="F46" s="1403">
        <v>8</v>
      </c>
      <c r="G46" s="1403">
        <v>15</v>
      </c>
      <c r="H46" s="1403">
        <v>1</v>
      </c>
      <c r="I46" s="1401">
        <f t="shared" si="1"/>
        <v>29</v>
      </c>
      <c r="J46" s="1404">
        <f t="shared" si="0"/>
        <v>0.51724137931034486</v>
      </c>
      <c r="K46" s="1263" t="s">
        <v>80</v>
      </c>
    </row>
    <row r="47" spans="1:19">
      <c r="A47" s="1352" t="s">
        <v>82</v>
      </c>
      <c r="B47" s="1353" t="s">
        <v>83</v>
      </c>
      <c r="C47" s="1403">
        <v>1</v>
      </c>
      <c r="D47" s="1403"/>
      <c r="E47" s="1403">
        <v>4</v>
      </c>
      <c r="F47" s="1403">
        <v>7</v>
      </c>
      <c r="G47" s="1403">
        <v>8</v>
      </c>
      <c r="H47" s="1403"/>
      <c r="I47" s="1401">
        <f t="shared" si="1"/>
        <v>20</v>
      </c>
      <c r="J47" s="1404">
        <f t="shared" si="0"/>
        <v>0.4</v>
      </c>
      <c r="K47" s="1263" t="s">
        <v>82</v>
      </c>
    </row>
    <row r="48" spans="1:19">
      <c r="A48" s="1352" t="s">
        <v>84</v>
      </c>
      <c r="B48" s="1353" t="s">
        <v>516</v>
      </c>
      <c r="C48" s="1403"/>
      <c r="D48" s="1403">
        <v>2</v>
      </c>
      <c r="E48" s="1403">
        <v>4</v>
      </c>
      <c r="F48" s="1403">
        <v>4</v>
      </c>
      <c r="G48" s="1403">
        <v>8</v>
      </c>
      <c r="H48" s="1403"/>
      <c r="I48" s="1401">
        <f t="shared" si="1"/>
        <v>18</v>
      </c>
      <c r="J48" s="1404">
        <f t="shared" si="0"/>
        <v>0.44444444444444442</v>
      </c>
      <c r="K48" s="1263" t="s">
        <v>84</v>
      </c>
    </row>
    <row r="49" spans="1:11">
      <c r="A49" s="1352" t="s">
        <v>85</v>
      </c>
      <c r="B49" s="1353" t="s">
        <v>86</v>
      </c>
      <c r="C49" s="1403">
        <v>1</v>
      </c>
      <c r="D49" s="1403">
        <v>2</v>
      </c>
      <c r="E49" s="1403">
        <v>1</v>
      </c>
      <c r="F49" s="1403">
        <v>5</v>
      </c>
      <c r="G49" s="1403">
        <v>10</v>
      </c>
      <c r="H49" s="1403"/>
      <c r="I49" s="1401">
        <f t="shared" si="1"/>
        <v>19</v>
      </c>
      <c r="J49" s="1404">
        <f t="shared" si="0"/>
        <v>0.52631578947368418</v>
      </c>
      <c r="K49" s="1263" t="s">
        <v>85</v>
      </c>
    </row>
    <row r="50" spans="1:11">
      <c r="A50" s="1352" t="s">
        <v>87</v>
      </c>
      <c r="B50" s="1353" t="s">
        <v>88</v>
      </c>
      <c r="C50" s="1403">
        <v>3</v>
      </c>
      <c r="D50" s="1403">
        <v>4</v>
      </c>
      <c r="E50" s="1403">
        <v>1</v>
      </c>
      <c r="F50" s="1403">
        <v>5</v>
      </c>
      <c r="G50" s="1403">
        <v>3</v>
      </c>
      <c r="H50" s="1403"/>
      <c r="I50" s="1401">
        <f t="shared" si="1"/>
        <v>16</v>
      </c>
      <c r="J50" s="1404">
        <f t="shared" si="0"/>
        <v>0.1875</v>
      </c>
      <c r="K50" s="1263" t="s">
        <v>87</v>
      </c>
    </row>
    <row r="51" spans="1:11">
      <c r="A51" s="1352" t="s">
        <v>89</v>
      </c>
      <c r="B51" s="1353" t="s">
        <v>90</v>
      </c>
      <c r="C51" s="1403"/>
      <c r="D51" s="1403">
        <v>5</v>
      </c>
      <c r="E51" s="1403">
        <v>2</v>
      </c>
      <c r="F51" s="1403">
        <v>6</v>
      </c>
      <c r="G51" s="1403">
        <v>3</v>
      </c>
      <c r="H51" s="1403"/>
      <c r="I51" s="1401">
        <f t="shared" si="1"/>
        <v>16</v>
      </c>
      <c r="J51" s="1404">
        <f t="shared" si="0"/>
        <v>0.1875</v>
      </c>
      <c r="K51" s="1263" t="s">
        <v>89</v>
      </c>
    </row>
    <row r="52" spans="1:11">
      <c r="A52" s="1352" t="s">
        <v>91</v>
      </c>
      <c r="B52" s="1353" t="s">
        <v>92</v>
      </c>
      <c r="C52" s="1403">
        <v>5</v>
      </c>
      <c r="D52" s="1403">
        <v>2</v>
      </c>
      <c r="E52" s="1403">
        <v>4</v>
      </c>
      <c r="F52" s="1403">
        <v>2</v>
      </c>
      <c r="G52" s="1403">
        <v>4</v>
      </c>
      <c r="H52" s="1403"/>
      <c r="I52" s="1401">
        <f t="shared" si="1"/>
        <v>17</v>
      </c>
      <c r="J52" s="1404">
        <f t="shared" si="0"/>
        <v>0.23529411764705882</v>
      </c>
      <c r="K52" s="1263" t="s">
        <v>91</v>
      </c>
    </row>
    <row r="53" spans="1:11">
      <c r="A53" s="1352" t="s">
        <v>93</v>
      </c>
      <c r="B53" s="1353" t="s">
        <v>94</v>
      </c>
      <c r="C53" s="1403">
        <v>2</v>
      </c>
      <c r="D53" s="1403"/>
      <c r="E53" s="1403">
        <v>3</v>
      </c>
      <c r="F53" s="1403">
        <v>1</v>
      </c>
      <c r="G53" s="1403">
        <v>1</v>
      </c>
      <c r="H53" s="1403"/>
      <c r="I53" s="1401">
        <f t="shared" si="1"/>
        <v>7</v>
      </c>
      <c r="J53" s="1404">
        <f t="shared" si="0"/>
        <v>0.14285714285714285</v>
      </c>
      <c r="K53" s="1263" t="s">
        <v>93</v>
      </c>
    </row>
    <row r="54" spans="1:11">
      <c r="A54" s="1352" t="s">
        <v>95</v>
      </c>
      <c r="B54" s="1353" t="s">
        <v>96</v>
      </c>
      <c r="C54" s="1403">
        <v>2</v>
      </c>
      <c r="D54" s="1403"/>
      <c r="E54" s="1403"/>
      <c r="F54" s="1403">
        <v>2</v>
      </c>
      <c r="G54" s="1403"/>
      <c r="H54" s="1403"/>
      <c r="I54" s="1401">
        <f t="shared" si="1"/>
        <v>4</v>
      </c>
      <c r="J54" s="1404">
        <f t="shared" si="0"/>
        <v>0</v>
      </c>
      <c r="K54" s="1263" t="s">
        <v>95</v>
      </c>
    </row>
    <row r="55" spans="1:11">
      <c r="A55" s="1352" t="s">
        <v>97</v>
      </c>
      <c r="B55" s="1353" t="s">
        <v>98</v>
      </c>
      <c r="C55" s="1403">
        <v>1</v>
      </c>
      <c r="D55" s="1403">
        <v>6</v>
      </c>
      <c r="E55" s="1403">
        <v>7</v>
      </c>
      <c r="F55" s="1403">
        <v>10</v>
      </c>
      <c r="G55" s="1403">
        <v>12</v>
      </c>
      <c r="H55" s="1403"/>
      <c r="I55" s="1401">
        <f t="shared" si="1"/>
        <v>36</v>
      </c>
      <c r="J55" s="1404">
        <f t="shared" si="0"/>
        <v>0.33333333333333331</v>
      </c>
      <c r="K55" s="1263" t="s">
        <v>97</v>
      </c>
    </row>
    <row r="56" spans="1:11">
      <c r="A56" s="1352" t="s">
        <v>99</v>
      </c>
      <c r="B56" s="1353" t="s">
        <v>100</v>
      </c>
      <c r="C56" s="1403">
        <v>2</v>
      </c>
      <c r="D56" s="1403">
        <v>4</v>
      </c>
      <c r="E56" s="1403">
        <v>4</v>
      </c>
      <c r="F56" s="1403">
        <v>9</v>
      </c>
      <c r="G56" s="1403">
        <v>10</v>
      </c>
      <c r="H56" s="1403"/>
      <c r="I56" s="1401">
        <f t="shared" si="1"/>
        <v>29</v>
      </c>
      <c r="J56" s="1404">
        <f t="shared" si="0"/>
        <v>0.34482758620689657</v>
      </c>
      <c r="K56" s="1263" t="s">
        <v>99</v>
      </c>
    </row>
    <row r="57" spans="1:11">
      <c r="A57" s="1355" t="s">
        <v>142</v>
      </c>
      <c r="B57" s="1353" t="s">
        <v>117</v>
      </c>
      <c r="C57" s="1403"/>
      <c r="D57" s="1403">
        <v>1</v>
      </c>
      <c r="E57" s="1403"/>
      <c r="F57" s="1403"/>
      <c r="G57" s="1403"/>
      <c r="H57" s="1403"/>
      <c r="I57" s="1401">
        <f t="shared" si="1"/>
        <v>1</v>
      </c>
      <c r="J57" s="1404">
        <f t="shared" si="0"/>
        <v>0</v>
      </c>
      <c r="K57" s="1263" t="s">
        <v>142</v>
      </c>
    </row>
    <row r="58" spans="1:11">
      <c r="A58" s="1352" t="s">
        <v>101</v>
      </c>
      <c r="B58" s="1353" t="s">
        <v>102</v>
      </c>
      <c r="C58" s="1403"/>
      <c r="D58" s="1403">
        <v>1</v>
      </c>
      <c r="E58" s="1403"/>
      <c r="F58" s="1403"/>
      <c r="G58" s="1403"/>
      <c r="H58" s="1403"/>
      <c r="I58" s="1401">
        <f t="shared" si="1"/>
        <v>1</v>
      </c>
      <c r="J58" s="1404">
        <f t="shared" si="0"/>
        <v>0</v>
      </c>
      <c r="K58" s="1263" t="s">
        <v>101</v>
      </c>
    </row>
    <row r="59" spans="1:11">
      <c r="A59" s="1352" t="s">
        <v>103</v>
      </c>
      <c r="B59" s="1353" t="s">
        <v>104</v>
      </c>
      <c r="C59" s="1403"/>
      <c r="D59" s="1403">
        <v>5</v>
      </c>
      <c r="E59" s="1403">
        <v>5</v>
      </c>
      <c r="F59" s="1403">
        <v>6</v>
      </c>
      <c r="G59" s="1403">
        <v>13</v>
      </c>
      <c r="H59" s="1403"/>
      <c r="I59" s="1401">
        <f t="shared" si="1"/>
        <v>29</v>
      </c>
      <c r="J59" s="1404">
        <f t="shared" si="0"/>
        <v>0.44827586206896552</v>
      </c>
      <c r="K59" s="1263" t="s">
        <v>103</v>
      </c>
    </row>
    <row r="60" spans="1:11">
      <c r="A60" s="1355" t="s">
        <v>578</v>
      </c>
      <c r="B60" s="1358" t="s">
        <v>200</v>
      </c>
      <c r="C60" s="1403"/>
      <c r="D60" s="1403">
        <v>1</v>
      </c>
      <c r="E60" s="1403"/>
      <c r="F60" s="1403"/>
      <c r="G60" s="1403">
        <v>1</v>
      </c>
      <c r="H60" s="1403"/>
      <c r="I60" s="1401">
        <f t="shared" si="1"/>
        <v>2</v>
      </c>
      <c r="J60" s="1404">
        <f t="shared" si="0"/>
        <v>0.5</v>
      </c>
      <c r="K60" s="1263" t="s">
        <v>578</v>
      </c>
    </row>
    <row r="61" spans="1:11">
      <c r="A61" s="1405" t="s">
        <v>517</v>
      </c>
      <c r="B61" s="1358" t="s">
        <v>518</v>
      </c>
      <c r="C61" s="1403">
        <v>1</v>
      </c>
      <c r="D61" s="1403">
        <v>1</v>
      </c>
      <c r="E61" s="1403">
        <v>2</v>
      </c>
      <c r="F61" s="1403">
        <v>1</v>
      </c>
      <c r="G61" s="1403">
        <v>4</v>
      </c>
      <c r="H61" s="1403"/>
      <c r="I61" s="1401">
        <f t="shared" si="1"/>
        <v>9</v>
      </c>
      <c r="J61" s="1404">
        <f t="shared" si="0"/>
        <v>0.44444444444444442</v>
      </c>
      <c r="K61" s="1263" t="s">
        <v>517</v>
      </c>
    </row>
    <row r="62" spans="1:11">
      <c r="A62" s="1405" t="s">
        <v>519</v>
      </c>
      <c r="B62" s="1358" t="s">
        <v>520</v>
      </c>
      <c r="C62" s="1403">
        <v>1</v>
      </c>
      <c r="D62" s="1403">
        <v>3</v>
      </c>
      <c r="E62" s="1403">
        <v>2</v>
      </c>
      <c r="F62" s="1403">
        <v>6</v>
      </c>
      <c r="G62" s="1403">
        <v>8</v>
      </c>
      <c r="H62" s="1403"/>
      <c r="I62" s="1401">
        <f t="shared" si="1"/>
        <v>20</v>
      </c>
      <c r="J62" s="1404">
        <f t="shared" si="0"/>
        <v>0.4</v>
      </c>
      <c r="K62" s="1263" t="s">
        <v>519</v>
      </c>
    </row>
    <row r="63" spans="1:11" ht="13.8" thickBot="1">
      <c r="A63" s="1406" t="s">
        <v>521</v>
      </c>
      <c r="B63" s="1407" t="s">
        <v>522</v>
      </c>
      <c r="C63" s="1408"/>
      <c r="D63" s="1408"/>
      <c r="E63" s="1408">
        <v>5</v>
      </c>
      <c r="F63" s="1408">
        <v>1</v>
      </c>
      <c r="G63" s="1408">
        <v>2</v>
      </c>
      <c r="H63" s="1408"/>
      <c r="I63" s="1409">
        <f t="shared" si="1"/>
        <v>8</v>
      </c>
      <c r="J63" s="1410">
        <f t="shared" si="0"/>
        <v>0.25</v>
      </c>
      <c r="K63" s="1263" t="s">
        <v>521</v>
      </c>
    </row>
    <row r="64" spans="1:11" ht="13.8" thickBot="1">
      <c r="A64" s="1411"/>
      <c r="B64" s="1412"/>
      <c r="C64" s="1413"/>
      <c r="D64" s="1413"/>
      <c r="E64" s="1413"/>
      <c r="F64" s="1413"/>
      <c r="G64" s="1413"/>
      <c r="H64" s="1413"/>
      <c r="I64" s="1413"/>
      <c r="J64" s="1414"/>
    </row>
    <row r="65" spans="1:10" ht="14.4" thickBot="1">
      <c r="A65" s="1415"/>
      <c r="B65" s="1416" t="s">
        <v>105</v>
      </c>
      <c r="C65" s="1417">
        <f t="shared" ref="C65:H65" si="2">SUM(C8:C63)</f>
        <v>43</v>
      </c>
      <c r="D65" s="1417">
        <f t="shared" si="2"/>
        <v>102</v>
      </c>
      <c r="E65" s="1417">
        <f>SUM(E8:E63)</f>
        <v>175</v>
      </c>
      <c r="F65" s="1417">
        <f>SUM(F8:F63)</f>
        <v>312</v>
      </c>
      <c r="G65" s="1417">
        <f t="shared" si="2"/>
        <v>495</v>
      </c>
      <c r="H65" s="1417">
        <f t="shared" si="2"/>
        <v>2</v>
      </c>
      <c r="I65" s="1418">
        <f>SUM(I8:I63)</f>
        <v>1129</v>
      </c>
      <c r="J65" s="1419">
        <f>G65/I65</f>
        <v>0.43844109831709477</v>
      </c>
    </row>
    <row r="66" spans="1:10" ht="14.4" thickBot="1">
      <c r="A66" s="1420"/>
      <c r="B66" s="1421"/>
      <c r="C66" s="1422">
        <f t="shared" ref="C66:H66" si="3">C65/$I$65</f>
        <v>3.8086802480070861E-2</v>
      </c>
      <c r="D66" s="1423">
        <f>D65/I65</f>
        <v>9.0345438441098311E-2</v>
      </c>
      <c r="E66" s="1423">
        <f>E65/I65</f>
        <v>0.1550044286979628</v>
      </c>
      <c r="F66" s="1423">
        <f>F65/I65</f>
        <v>0.27635075287865368</v>
      </c>
      <c r="G66" s="1423">
        <f>G65/$I$65</f>
        <v>0.43844109831709477</v>
      </c>
      <c r="H66" s="1424">
        <f t="shared" si="3"/>
        <v>1.7714791851195749E-3</v>
      </c>
      <c r="I66" s="1425"/>
      <c r="J66" s="1426"/>
    </row>
    <row r="67" spans="1:10" ht="13.8">
      <c r="A67" s="1989" t="s">
        <v>936</v>
      </c>
      <c r="B67" s="1421"/>
      <c r="C67" s="1988"/>
      <c r="D67" s="1988"/>
      <c r="E67" s="1988"/>
      <c r="F67" s="1988"/>
      <c r="G67" s="1988"/>
      <c r="H67" s="1988"/>
      <c r="I67" s="1425"/>
      <c r="J67" s="1426"/>
    </row>
    <row r="68" spans="1:10">
      <c r="A68" s="1990" t="s">
        <v>939</v>
      </c>
      <c r="B68" s="1371"/>
      <c r="C68" s="1372"/>
      <c r="D68" s="1372"/>
      <c r="E68" s="1372"/>
      <c r="F68" s="1372"/>
      <c r="G68" s="1372"/>
      <c r="H68" s="1372"/>
      <c r="I68" s="1987"/>
    </row>
    <row r="69" spans="1:10">
      <c r="A69" s="860" t="s">
        <v>580</v>
      </c>
      <c r="G69" s="1371"/>
      <c r="H69" s="1371"/>
      <c r="I69" s="1371"/>
    </row>
  </sheetData>
  <mergeCells count="3">
    <mergeCell ref="A2:J2"/>
    <mergeCell ref="A4:J4"/>
    <mergeCell ref="A5:J5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66"/>
  </sheetPr>
  <dimension ref="A2:N69"/>
  <sheetViews>
    <sheetView topLeftCell="A21" zoomScale="85" zoomScaleNormal="85" workbookViewId="0">
      <selection activeCell="L56" sqref="L56"/>
    </sheetView>
  </sheetViews>
  <sheetFormatPr baseColWidth="10" defaultRowHeight="13.2"/>
  <cols>
    <col min="1" max="1" width="8.44140625" style="1263" customWidth="1"/>
    <col min="2" max="2" width="68.88671875" style="1263" customWidth="1"/>
    <col min="3" max="3" width="11" style="1263" customWidth="1"/>
    <col min="4" max="4" width="8.6640625" style="1263" bestFit="1" customWidth="1"/>
    <col min="5" max="5" width="11.44140625" style="1263"/>
    <col min="6" max="6" width="9.6640625" style="1263" bestFit="1" customWidth="1"/>
    <col min="7" max="7" width="10.88671875" style="1263" customWidth="1"/>
    <col min="8" max="256" width="11.44140625" style="1263"/>
    <col min="257" max="257" width="8.44140625" style="1263" customWidth="1"/>
    <col min="258" max="258" width="68.88671875" style="1263" customWidth="1"/>
    <col min="259" max="259" width="7.88671875" style="1263" bestFit="1" customWidth="1"/>
    <col min="260" max="260" width="8.6640625" style="1263" bestFit="1" customWidth="1"/>
    <col min="261" max="261" width="11.44140625" style="1263"/>
    <col min="262" max="263" width="9.6640625" style="1263" bestFit="1" customWidth="1"/>
    <col min="264" max="512" width="11.44140625" style="1263"/>
    <col min="513" max="513" width="8.44140625" style="1263" customWidth="1"/>
    <col min="514" max="514" width="68.88671875" style="1263" customWidth="1"/>
    <col min="515" max="515" width="7.88671875" style="1263" bestFit="1" customWidth="1"/>
    <col min="516" max="516" width="8.6640625" style="1263" bestFit="1" customWidth="1"/>
    <col min="517" max="517" width="11.44140625" style="1263"/>
    <col min="518" max="519" width="9.6640625" style="1263" bestFit="1" customWidth="1"/>
    <col min="520" max="768" width="11.44140625" style="1263"/>
    <col min="769" max="769" width="8.44140625" style="1263" customWidth="1"/>
    <col min="770" max="770" width="68.88671875" style="1263" customWidth="1"/>
    <col min="771" max="771" width="7.88671875" style="1263" bestFit="1" customWidth="1"/>
    <col min="772" max="772" width="8.6640625" style="1263" bestFit="1" customWidth="1"/>
    <col min="773" max="773" width="11.44140625" style="1263"/>
    <col min="774" max="775" width="9.6640625" style="1263" bestFit="1" customWidth="1"/>
    <col min="776" max="1024" width="11.44140625" style="1263"/>
    <col min="1025" max="1025" width="8.44140625" style="1263" customWidth="1"/>
    <col min="1026" max="1026" width="68.88671875" style="1263" customWidth="1"/>
    <col min="1027" max="1027" width="7.88671875" style="1263" bestFit="1" customWidth="1"/>
    <col min="1028" max="1028" width="8.6640625" style="1263" bestFit="1" customWidth="1"/>
    <col min="1029" max="1029" width="11.44140625" style="1263"/>
    <col min="1030" max="1031" width="9.6640625" style="1263" bestFit="1" customWidth="1"/>
    <col min="1032" max="1280" width="11.44140625" style="1263"/>
    <col min="1281" max="1281" width="8.44140625" style="1263" customWidth="1"/>
    <col min="1282" max="1282" width="68.88671875" style="1263" customWidth="1"/>
    <col min="1283" max="1283" width="7.88671875" style="1263" bestFit="1" customWidth="1"/>
    <col min="1284" max="1284" width="8.6640625" style="1263" bestFit="1" customWidth="1"/>
    <col min="1285" max="1285" width="11.44140625" style="1263"/>
    <col min="1286" max="1287" width="9.6640625" style="1263" bestFit="1" customWidth="1"/>
    <col min="1288" max="1536" width="11.44140625" style="1263"/>
    <col min="1537" max="1537" width="8.44140625" style="1263" customWidth="1"/>
    <col min="1538" max="1538" width="68.88671875" style="1263" customWidth="1"/>
    <col min="1539" max="1539" width="7.88671875" style="1263" bestFit="1" customWidth="1"/>
    <col min="1540" max="1540" width="8.6640625" style="1263" bestFit="1" customWidth="1"/>
    <col min="1541" max="1541" width="11.44140625" style="1263"/>
    <col min="1542" max="1543" width="9.6640625" style="1263" bestFit="1" customWidth="1"/>
    <col min="1544" max="1792" width="11.44140625" style="1263"/>
    <col min="1793" max="1793" width="8.44140625" style="1263" customWidth="1"/>
    <col min="1794" max="1794" width="68.88671875" style="1263" customWidth="1"/>
    <col min="1795" max="1795" width="7.88671875" style="1263" bestFit="1" customWidth="1"/>
    <col min="1796" max="1796" width="8.6640625" style="1263" bestFit="1" customWidth="1"/>
    <col min="1797" max="1797" width="11.44140625" style="1263"/>
    <col min="1798" max="1799" width="9.6640625" style="1263" bestFit="1" customWidth="1"/>
    <col min="1800" max="2048" width="11.44140625" style="1263"/>
    <col min="2049" max="2049" width="8.44140625" style="1263" customWidth="1"/>
    <col min="2050" max="2050" width="68.88671875" style="1263" customWidth="1"/>
    <col min="2051" max="2051" width="7.88671875" style="1263" bestFit="1" customWidth="1"/>
    <col min="2052" max="2052" width="8.6640625" style="1263" bestFit="1" customWidth="1"/>
    <col min="2053" max="2053" width="11.44140625" style="1263"/>
    <col min="2054" max="2055" width="9.6640625" style="1263" bestFit="1" customWidth="1"/>
    <col min="2056" max="2304" width="11.44140625" style="1263"/>
    <col min="2305" max="2305" width="8.44140625" style="1263" customWidth="1"/>
    <col min="2306" max="2306" width="68.88671875" style="1263" customWidth="1"/>
    <col min="2307" max="2307" width="7.88671875" style="1263" bestFit="1" customWidth="1"/>
    <col min="2308" max="2308" width="8.6640625" style="1263" bestFit="1" customWidth="1"/>
    <col min="2309" max="2309" width="11.44140625" style="1263"/>
    <col min="2310" max="2311" width="9.6640625" style="1263" bestFit="1" customWidth="1"/>
    <col min="2312" max="2560" width="11.44140625" style="1263"/>
    <col min="2561" max="2561" width="8.44140625" style="1263" customWidth="1"/>
    <col min="2562" max="2562" width="68.88671875" style="1263" customWidth="1"/>
    <col min="2563" max="2563" width="7.88671875" style="1263" bestFit="1" customWidth="1"/>
    <col min="2564" max="2564" width="8.6640625" style="1263" bestFit="1" customWidth="1"/>
    <col min="2565" max="2565" width="11.44140625" style="1263"/>
    <col min="2566" max="2567" width="9.6640625" style="1263" bestFit="1" customWidth="1"/>
    <col min="2568" max="2816" width="11.44140625" style="1263"/>
    <col min="2817" max="2817" width="8.44140625" style="1263" customWidth="1"/>
    <col min="2818" max="2818" width="68.88671875" style="1263" customWidth="1"/>
    <col min="2819" max="2819" width="7.88671875" style="1263" bestFit="1" customWidth="1"/>
    <col min="2820" max="2820" width="8.6640625" style="1263" bestFit="1" customWidth="1"/>
    <col min="2821" max="2821" width="11.44140625" style="1263"/>
    <col min="2822" max="2823" width="9.6640625" style="1263" bestFit="1" customWidth="1"/>
    <col min="2824" max="3072" width="11.44140625" style="1263"/>
    <col min="3073" max="3073" width="8.44140625" style="1263" customWidth="1"/>
    <col min="3074" max="3074" width="68.88671875" style="1263" customWidth="1"/>
    <col min="3075" max="3075" width="7.88671875" style="1263" bestFit="1" customWidth="1"/>
    <col min="3076" max="3076" width="8.6640625" style="1263" bestFit="1" customWidth="1"/>
    <col min="3077" max="3077" width="11.44140625" style="1263"/>
    <col min="3078" max="3079" width="9.6640625" style="1263" bestFit="1" customWidth="1"/>
    <col min="3080" max="3328" width="11.44140625" style="1263"/>
    <col min="3329" max="3329" width="8.44140625" style="1263" customWidth="1"/>
    <col min="3330" max="3330" width="68.88671875" style="1263" customWidth="1"/>
    <col min="3331" max="3331" width="7.88671875" style="1263" bestFit="1" customWidth="1"/>
    <col min="3332" max="3332" width="8.6640625" style="1263" bestFit="1" customWidth="1"/>
    <col min="3333" max="3333" width="11.44140625" style="1263"/>
    <col min="3334" max="3335" width="9.6640625" style="1263" bestFit="1" customWidth="1"/>
    <col min="3336" max="3584" width="11.44140625" style="1263"/>
    <col min="3585" max="3585" width="8.44140625" style="1263" customWidth="1"/>
    <col min="3586" max="3586" width="68.88671875" style="1263" customWidth="1"/>
    <col min="3587" max="3587" width="7.88671875" style="1263" bestFit="1" customWidth="1"/>
    <col min="3588" max="3588" width="8.6640625" style="1263" bestFit="1" customWidth="1"/>
    <col min="3589" max="3589" width="11.44140625" style="1263"/>
    <col min="3590" max="3591" width="9.6640625" style="1263" bestFit="1" customWidth="1"/>
    <col min="3592" max="3840" width="11.44140625" style="1263"/>
    <col min="3841" max="3841" width="8.44140625" style="1263" customWidth="1"/>
    <col min="3842" max="3842" width="68.88671875" style="1263" customWidth="1"/>
    <col min="3843" max="3843" width="7.88671875" style="1263" bestFit="1" customWidth="1"/>
    <col min="3844" max="3844" width="8.6640625" style="1263" bestFit="1" customWidth="1"/>
    <col min="3845" max="3845" width="11.44140625" style="1263"/>
    <col min="3846" max="3847" width="9.6640625" style="1263" bestFit="1" customWidth="1"/>
    <col min="3848" max="4096" width="11.44140625" style="1263"/>
    <col min="4097" max="4097" width="8.44140625" style="1263" customWidth="1"/>
    <col min="4098" max="4098" width="68.88671875" style="1263" customWidth="1"/>
    <col min="4099" max="4099" width="7.88671875" style="1263" bestFit="1" customWidth="1"/>
    <col min="4100" max="4100" width="8.6640625" style="1263" bestFit="1" customWidth="1"/>
    <col min="4101" max="4101" width="11.44140625" style="1263"/>
    <col min="4102" max="4103" width="9.6640625" style="1263" bestFit="1" customWidth="1"/>
    <col min="4104" max="4352" width="11.44140625" style="1263"/>
    <col min="4353" max="4353" width="8.44140625" style="1263" customWidth="1"/>
    <col min="4354" max="4354" width="68.88671875" style="1263" customWidth="1"/>
    <col min="4355" max="4355" width="7.88671875" style="1263" bestFit="1" customWidth="1"/>
    <col min="4356" max="4356" width="8.6640625" style="1263" bestFit="1" customWidth="1"/>
    <col min="4357" max="4357" width="11.44140625" style="1263"/>
    <col min="4358" max="4359" width="9.6640625" style="1263" bestFit="1" customWidth="1"/>
    <col min="4360" max="4608" width="11.44140625" style="1263"/>
    <col min="4609" max="4609" width="8.44140625" style="1263" customWidth="1"/>
    <col min="4610" max="4610" width="68.88671875" style="1263" customWidth="1"/>
    <col min="4611" max="4611" width="7.88671875" style="1263" bestFit="1" customWidth="1"/>
    <col min="4612" max="4612" width="8.6640625" style="1263" bestFit="1" customWidth="1"/>
    <col min="4613" max="4613" width="11.44140625" style="1263"/>
    <col min="4614" max="4615" width="9.6640625" style="1263" bestFit="1" customWidth="1"/>
    <col min="4616" max="4864" width="11.44140625" style="1263"/>
    <col min="4865" max="4865" width="8.44140625" style="1263" customWidth="1"/>
    <col min="4866" max="4866" width="68.88671875" style="1263" customWidth="1"/>
    <col min="4867" max="4867" width="7.88671875" style="1263" bestFit="1" customWidth="1"/>
    <col min="4868" max="4868" width="8.6640625" style="1263" bestFit="1" customWidth="1"/>
    <col min="4869" max="4869" width="11.44140625" style="1263"/>
    <col min="4870" max="4871" width="9.6640625" style="1263" bestFit="1" customWidth="1"/>
    <col min="4872" max="5120" width="11.44140625" style="1263"/>
    <col min="5121" max="5121" width="8.44140625" style="1263" customWidth="1"/>
    <col min="5122" max="5122" width="68.88671875" style="1263" customWidth="1"/>
    <col min="5123" max="5123" width="7.88671875" style="1263" bestFit="1" customWidth="1"/>
    <col min="5124" max="5124" width="8.6640625" style="1263" bestFit="1" customWidth="1"/>
    <col min="5125" max="5125" width="11.44140625" style="1263"/>
    <col min="5126" max="5127" width="9.6640625" style="1263" bestFit="1" customWidth="1"/>
    <col min="5128" max="5376" width="11.44140625" style="1263"/>
    <col min="5377" max="5377" width="8.44140625" style="1263" customWidth="1"/>
    <col min="5378" max="5378" width="68.88671875" style="1263" customWidth="1"/>
    <col min="5379" max="5379" width="7.88671875" style="1263" bestFit="1" customWidth="1"/>
    <col min="5380" max="5380" width="8.6640625" style="1263" bestFit="1" customWidth="1"/>
    <col min="5381" max="5381" width="11.44140625" style="1263"/>
    <col min="5382" max="5383" width="9.6640625" style="1263" bestFit="1" customWidth="1"/>
    <col min="5384" max="5632" width="11.44140625" style="1263"/>
    <col min="5633" max="5633" width="8.44140625" style="1263" customWidth="1"/>
    <col min="5634" max="5634" width="68.88671875" style="1263" customWidth="1"/>
    <col min="5635" max="5635" width="7.88671875" style="1263" bestFit="1" customWidth="1"/>
    <col min="5636" max="5636" width="8.6640625" style="1263" bestFit="1" customWidth="1"/>
    <col min="5637" max="5637" width="11.44140625" style="1263"/>
    <col min="5638" max="5639" width="9.6640625" style="1263" bestFit="1" customWidth="1"/>
    <col min="5640" max="5888" width="11.44140625" style="1263"/>
    <col min="5889" max="5889" width="8.44140625" style="1263" customWidth="1"/>
    <col min="5890" max="5890" width="68.88671875" style="1263" customWidth="1"/>
    <col min="5891" max="5891" width="7.88671875" style="1263" bestFit="1" customWidth="1"/>
    <col min="5892" max="5892" width="8.6640625" style="1263" bestFit="1" customWidth="1"/>
    <col min="5893" max="5893" width="11.44140625" style="1263"/>
    <col min="5894" max="5895" width="9.6640625" style="1263" bestFit="1" customWidth="1"/>
    <col min="5896" max="6144" width="11.44140625" style="1263"/>
    <col min="6145" max="6145" width="8.44140625" style="1263" customWidth="1"/>
    <col min="6146" max="6146" width="68.88671875" style="1263" customWidth="1"/>
    <col min="6147" max="6147" width="7.88671875" style="1263" bestFit="1" customWidth="1"/>
    <col min="6148" max="6148" width="8.6640625" style="1263" bestFit="1" customWidth="1"/>
    <col min="6149" max="6149" width="11.44140625" style="1263"/>
    <col min="6150" max="6151" width="9.6640625" style="1263" bestFit="1" customWidth="1"/>
    <col min="6152" max="6400" width="11.44140625" style="1263"/>
    <col min="6401" max="6401" width="8.44140625" style="1263" customWidth="1"/>
    <col min="6402" max="6402" width="68.88671875" style="1263" customWidth="1"/>
    <col min="6403" max="6403" width="7.88671875" style="1263" bestFit="1" customWidth="1"/>
    <col min="6404" max="6404" width="8.6640625" style="1263" bestFit="1" customWidth="1"/>
    <col min="6405" max="6405" width="11.44140625" style="1263"/>
    <col min="6406" max="6407" width="9.6640625" style="1263" bestFit="1" customWidth="1"/>
    <col min="6408" max="6656" width="11.44140625" style="1263"/>
    <col min="6657" max="6657" width="8.44140625" style="1263" customWidth="1"/>
    <col min="6658" max="6658" width="68.88671875" style="1263" customWidth="1"/>
    <col min="6659" max="6659" width="7.88671875" style="1263" bestFit="1" customWidth="1"/>
    <col min="6660" max="6660" width="8.6640625" style="1263" bestFit="1" customWidth="1"/>
    <col min="6661" max="6661" width="11.44140625" style="1263"/>
    <col min="6662" max="6663" width="9.6640625" style="1263" bestFit="1" customWidth="1"/>
    <col min="6664" max="6912" width="11.44140625" style="1263"/>
    <col min="6913" max="6913" width="8.44140625" style="1263" customWidth="1"/>
    <col min="6914" max="6914" width="68.88671875" style="1263" customWidth="1"/>
    <col min="6915" max="6915" width="7.88671875" style="1263" bestFit="1" customWidth="1"/>
    <col min="6916" max="6916" width="8.6640625" style="1263" bestFit="1" customWidth="1"/>
    <col min="6917" max="6917" width="11.44140625" style="1263"/>
    <col min="6918" max="6919" width="9.6640625" style="1263" bestFit="1" customWidth="1"/>
    <col min="6920" max="7168" width="11.44140625" style="1263"/>
    <col min="7169" max="7169" width="8.44140625" style="1263" customWidth="1"/>
    <col min="7170" max="7170" width="68.88671875" style="1263" customWidth="1"/>
    <col min="7171" max="7171" width="7.88671875" style="1263" bestFit="1" customWidth="1"/>
    <col min="7172" max="7172" width="8.6640625" style="1263" bestFit="1" customWidth="1"/>
    <col min="7173" max="7173" width="11.44140625" style="1263"/>
    <col min="7174" max="7175" width="9.6640625" style="1263" bestFit="1" customWidth="1"/>
    <col min="7176" max="7424" width="11.44140625" style="1263"/>
    <col min="7425" max="7425" width="8.44140625" style="1263" customWidth="1"/>
    <col min="7426" max="7426" width="68.88671875" style="1263" customWidth="1"/>
    <col min="7427" max="7427" width="7.88671875" style="1263" bestFit="1" customWidth="1"/>
    <col min="7428" max="7428" width="8.6640625" style="1263" bestFit="1" customWidth="1"/>
    <col min="7429" max="7429" width="11.44140625" style="1263"/>
    <col min="7430" max="7431" width="9.6640625" style="1263" bestFit="1" customWidth="1"/>
    <col min="7432" max="7680" width="11.44140625" style="1263"/>
    <col min="7681" max="7681" width="8.44140625" style="1263" customWidth="1"/>
    <col min="7682" max="7682" width="68.88671875" style="1263" customWidth="1"/>
    <col min="7683" max="7683" width="7.88671875" style="1263" bestFit="1" customWidth="1"/>
    <col min="7684" max="7684" width="8.6640625" style="1263" bestFit="1" customWidth="1"/>
    <col min="7685" max="7685" width="11.44140625" style="1263"/>
    <col min="7686" max="7687" width="9.6640625" style="1263" bestFit="1" customWidth="1"/>
    <col min="7688" max="7936" width="11.44140625" style="1263"/>
    <col min="7937" max="7937" width="8.44140625" style="1263" customWidth="1"/>
    <col min="7938" max="7938" width="68.88671875" style="1263" customWidth="1"/>
    <col min="7939" max="7939" width="7.88671875" style="1263" bestFit="1" customWidth="1"/>
    <col min="7940" max="7940" width="8.6640625" style="1263" bestFit="1" customWidth="1"/>
    <col min="7941" max="7941" width="11.44140625" style="1263"/>
    <col min="7942" max="7943" width="9.6640625" style="1263" bestFit="1" customWidth="1"/>
    <col min="7944" max="8192" width="11.44140625" style="1263"/>
    <col min="8193" max="8193" width="8.44140625" style="1263" customWidth="1"/>
    <col min="8194" max="8194" width="68.88671875" style="1263" customWidth="1"/>
    <col min="8195" max="8195" width="7.88671875" style="1263" bestFit="1" customWidth="1"/>
    <col min="8196" max="8196" width="8.6640625" style="1263" bestFit="1" customWidth="1"/>
    <col min="8197" max="8197" width="11.44140625" style="1263"/>
    <col min="8198" max="8199" width="9.6640625" style="1263" bestFit="1" customWidth="1"/>
    <col min="8200" max="8448" width="11.44140625" style="1263"/>
    <col min="8449" max="8449" width="8.44140625" style="1263" customWidth="1"/>
    <col min="8450" max="8450" width="68.88671875" style="1263" customWidth="1"/>
    <col min="8451" max="8451" width="7.88671875" style="1263" bestFit="1" customWidth="1"/>
    <col min="8452" max="8452" width="8.6640625" style="1263" bestFit="1" customWidth="1"/>
    <col min="8453" max="8453" width="11.44140625" style="1263"/>
    <col min="8454" max="8455" width="9.6640625" style="1263" bestFit="1" customWidth="1"/>
    <col min="8456" max="8704" width="11.44140625" style="1263"/>
    <col min="8705" max="8705" width="8.44140625" style="1263" customWidth="1"/>
    <col min="8706" max="8706" width="68.88671875" style="1263" customWidth="1"/>
    <col min="8707" max="8707" width="7.88671875" style="1263" bestFit="1" customWidth="1"/>
    <col min="8708" max="8708" width="8.6640625" style="1263" bestFit="1" customWidth="1"/>
    <col min="8709" max="8709" width="11.44140625" style="1263"/>
    <col min="8710" max="8711" width="9.6640625" style="1263" bestFit="1" customWidth="1"/>
    <col min="8712" max="8960" width="11.44140625" style="1263"/>
    <col min="8961" max="8961" width="8.44140625" style="1263" customWidth="1"/>
    <col min="8962" max="8962" width="68.88671875" style="1263" customWidth="1"/>
    <col min="8963" max="8963" width="7.88671875" style="1263" bestFit="1" customWidth="1"/>
    <col min="8964" max="8964" width="8.6640625" style="1263" bestFit="1" customWidth="1"/>
    <col min="8965" max="8965" width="11.44140625" style="1263"/>
    <col min="8966" max="8967" width="9.6640625" style="1263" bestFit="1" customWidth="1"/>
    <col min="8968" max="9216" width="11.44140625" style="1263"/>
    <col min="9217" max="9217" width="8.44140625" style="1263" customWidth="1"/>
    <col min="9218" max="9218" width="68.88671875" style="1263" customWidth="1"/>
    <col min="9219" max="9219" width="7.88671875" style="1263" bestFit="1" customWidth="1"/>
    <col min="9220" max="9220" width="8.6640625" style="1263" bestFit="1" customWidth="1"/>
    <col min="9221" max="9221" width="11.44140625" style="1263"/>
    <col min="9222" max="9223" width="9.6640625" style="1263" bestFit="1" customWidth="1"/>
    <col min="9224" max="9472" width="11.44140625" style="1263"/>
    <col min="9473" max="9473" width="8.44140625" style="1263" customWidth="1"/>
    <col min="9474" max="9474" width="68.88671875" style="1263" customWidth="1"/>
    <col min="9475" max="9475" width="7.88671875" style="1263" bestFit="1" customWidth="1"/>
    <col min="9476" max="9476" width="8.6640625" style="1263" bestFit="1" customWidth="1"/>
    <col min="9477" max="9477" width="11.44140625" style="1263"/>
    <col min="9478" max="9479" width="9.6640625" style="1263" bestFit="1" customWidth="1"/>
    <col min="9480" max="9728" width="11.44140625" style="1263"/>
    <col min="9729" max="9729" width="8.44140625" style="1263" customWidth="1"/>
    <col min="9730" max="9730" width="68.88671875" style="1263" customWidth="1"/>
    <col min="9731" max="9731" width="7.88671875" style="1263" bestFit="1" customWidth="1"/>
    <col min="9732" max="9732" width="8.6640625" style="1263" bestFit="1" customWidth="1"/>
    <col min="9733" max="9733" width="11.44140625" style="1263"/>
    <col min="9734" max="9735" width="9.6640625" style="1263" bestFit="1" customWidth="1"/>
    <col min="9736" max="9984" width="11.44140625" style="1263"/>
    <col min="9985" max="9985" width="8.44140625" style="1263" customWidth="1"/>
    <col min="9986" max="9986" width="68.88671875" style="1263" customWidth="1"/>
    <col min="9987" max="9987" width="7.88671875" style="1263" bestFit="1" customWidth="1"/>
    <col min="9988" max="9988" width="8.6640625" style="1263" bestFit="1" customWidth="1"/>
    <col min="9989" max="9989" width="11.44140625" style="1263"/>
    <col min="9990" max="9991" width="9.6640625" style="1263" bestFit="1" customWidth="1"/>
    <col min="9992" max="10240" width="11.44140625" style="1263"/>
    <col min="10241" max="10241" width="8.44140625" style="1263" customWidth="1"/>
    <col min="10242" max="10242" width="68.88671875" style="1263" customWidth="1"/>
    <col min="10243" max="10243" width="7.88671875" style="1263" bestFit="1" customWidth="1"/>
    <col min="10244" max="10244" width="8.6640625" style="1263" bestFit="1" customWidth="1"/>
    <col min="10245" max="10245" width="11.44140625" style="1263"/>
    <col min="10246" max="10247" width="9.6640625" style="1263" bestFit="1" customWidth="1"/>
    <col min="10248" max="10496" width="11.44140625" style="1263"/>
    <col min="10497" max="10497" width="8.44140625" style="1263" customWidth="1"/>
    <col min="10498" max="10498" width="68.88671875" style="1263" customWidth="1"/>
    <col min="10499" max="10499" width="7.88671875" style="1263" bestFit="1" customWidth="1"/>
    <col min="10500" max="10500" width="8.6640625" style="1263" bestFit="1" customWidth="1"/>
    <col min="10501" max="10501" width="11.44140625" style="1263"/>
    <col min="10502" max="10503" width="9.6640625" style="1263" bestFit="1" customWidth="1"/>
    <col min="10504" max="10752" width="11.44140625" style="1263"/>
    <col min="10753" max="10753" width="8.44140625" style="1263" customWidth="1"/>
    <col min="10754" max="10754" width="68.88671875" style="1263" customWidth="1"/>
    <col min="10755" max="10755" width="7.88671875" style="1263" bestFit="1" customWidth="1"/>
    <col min="10756" max="10756" width="8.6640625" style="1263" bestFit="1" customWidth="1"/>
    <col min="10757" max="10757" width="11.44140625" style="1263"/>
    <col min="10758" max="10759" width="9.6640625" style="1263" bestFit="1" customWidth="1"/>
    <col min="10760" max="11008" width="11.44140625" style="1263"/>
    <col min="11009" max="11009" width="8.44140625" style="1263" customWidth="1"/>
    <col min="11010" max="11010" width="68.88671875" style="1263" customWidth="1"/>
    <col min="11011" max="11011" width="7.88671875" style="1263" bestFit="1" customWidth="1"/>
    <col min="11012" max="11012" width="8.6640625" style="1263" bestFit="1" customWidth="1"/>
    <col min="11013" max="11013" width="11.44140625" style="1263"/>
    <col min="11014" max="11015" width="9.6640625" style="1263" bestFit="1" customWidth="1"/>
    <col min="11016" max="11264" width="11.44140625" style="1263"/>
    <col min="11265" max="11265" width="8.44140625" style="1263" customWidth="1"/>
    <col min="11266" max="11266" width="68.88671875" style="1263" customWidth="1"/>
    <col min="11267" max="11267" width="7.88671875" style="1263" bestFit="1" customWidth="1"/>
    <col min="11268" max="11268" width="8.6640625" style="1263" bestFit="1" customWidth="1"/>
    <col min="11269" max="11269" width="11.44140625" style="1263"/>
    <col min="11270" max="11271" width="9.6640625" style="1263" bestFit="1" customWidth="1"/>
    <col min="11272" max="11520" width="11.44140625" style="1263"/>
    <col min="11521" max="11521" width="8.44140625" style="1263" customWidth="1"/>
    <col min="11522" max="11522" width="68.88671875" style="1263" customWidth="1"/>
    <col min="11523" max="11523" width="7.88671875" style="1263" bestFit="1" customWidth="1"/>
    <col min="11524" max="11524" width="8.6640625" style="1263" bestFit="1" customWidth="1"/>
    <col min="11525" max="11525" width="11.44140625" style="1263"/>
    <col min="11526" max="11527" width="9.6640625" style="1263" bestFit="1" customWidth="1"/>
    <col min="11528" max="11776" width="11.44140625" style="1263"/>
    <col min="11777" max="11777" width="8.44140625" style="1263" customWidth="1"/>
    <col min="11778" max="11778" width="68.88671875" style="1263" customWidth="1"/>
    <col min="11779" max="11779" width="7.88671875" style="1263" bestFit="1" customWidth="1"/>
    <col min="11780" max="11780" width="8.6640625" style="1263" bestFit="1" customWidth="1"/>
    <col min="11781" max="11781" width="11.44140625" style="1263"/>
    <col min="11782" max="11783" width="9.6640625" style="1263" bestFit="1" customWidth="1"/>
    <col min="11784" max="12032" width="11.44140625" style="1263"/>
    <col min="12033" max="12033" width="8.44140625" style="1263" customWidth="1"/>
    <col min="12034" max="12034" width="68.88671875" style="1263" customWidth="1"/>
    <col min="12035" max="12035" width="7.88671875" style="1263" bestFit="1" customWidth="1"/>
    <col min="12036" max="12036" width="8.6640625" style="1263" bestFit="1" customWidth="1"/>
    <col min="12037" max="12037" width="11.44140625" style="1263"/>
    <col min="12038" max="12039" width="9.6640625" style="1263" bestFit="1" customWidth="1"/>
    <col min="12040" max="12288" width="11.44140625" style="1263"/>
    <col min="12289" max="12289" width="8.44140625" style="1263" customWidth="1"/>
    <col min="12290" max="12290" width="68.88671875" style="1263" customWidth="1"/>
    <col min="12291" max="12291" width="7.88671875" style="1263" bestFit="1" customWidth="1"/>
    <col min="12292" max="12292" width="8.6640625" style="1263" bestFit="1" customWidth="1"/>
    <col min="12293" max="12293" width="11.44140625" style="1263"/>
    <col min="12294" max="12295" width="9.6640625" style="1263" bestFit="1" customWidth="1"/>
    <col min="12296" max="12544" width="11.44140625" style="1263"/>
    <col min="12545" max="12545" width="8.44140625" style="1263" customWidth="1"/>
    <col min="12546" max="12546" width="68.88671875" style="1263" customWidth="1"/>
    <col min="12547" max="12547" width="7.88671875" style="1263" bestFit="1" customWidth="1"/>
    <col min="12548" max="12548" width="8.6640625" style="1263" bestFit="1" customWidth="1"/>
    <col min="12549" max="12549" width="11.44140625" style="1263"/>
    <col min="12550" max="12551" width="9.6640625" style="1263" bestFit="1" customWidth="1"/>
    <col min="12552" max="12800" width="11.44140625" style="1263"/>
    <col min="12801" max="12801" width="8.44140625" style="1263" customWidth="1"/>
    <col min="12802" max="12802" width="68.88671875" style="1263" customWidth="1"/>
    <col min="12803" max="12803" width="7.88671875" style="1263" bestFit="1" customWidth="1"/>
    <col min="12804" max="12804" width="8.6640625" style="1263" bestFit="1" customWidth="1"/>
    <col min="12805" max="12805" width="11.44140625" style="1263"/>
    <col min="12806" max="12807" width="9.6640625" style="1263" bestFit="1" customWidth="1"/>
    <col min="12808" max="13056" width="11.44140625" style="1263"/>
    <col min="13057" max="13057" width="8.44140625" style="1263" customWidth="1"/>
    <col min="13058" max="13058" width="68.88671875" style="1263" customWidth="1"/>
    <col min="13059" max="13059" width="7.88671875" style="1263" bestFit="1" customWidth="1"/>
    <col min="13060" max="13060" width="8.6640625" style="1263" bestFit="1" customWidth="1"/>
    <col min="13061" max="13061" width="11.44140625" style="1263"/>
    <col min="13062" max="13063" width="9.6640625" style="1263" bestFit="1" customWidth="1"/>
    <col min="13064" max="13312" width="11.44140625" style="1263"/>
    <col min="13313" max="13313" width="8.44140625" style="1263" customWidth="1"/>
    <col min="13314" max="13314" width="68.88671875" style="1263" customWidth="1"/>
    <col min="13315" max="13315" width="7.88671875" style="1263" bestFit="1" customWidth="1"/>
    <col min="13316" max="13316" width="8.6640625" style="1263" bestFit="1" customWidth="1"/>
    <col min="13317" max="13317" width="11.44140625" style="1263"/>
    <col min="13318" max="13319" width="9.6640625" style="1263" bestFit="1" customWidth="1"/>
    <col min="13320" max="13568" width="11.44140625" style="1263"/>
    <col min="13569" max="13569" width="8.44140625" style="1263" customWidth="1"/>
    <col min="13570" max="13570" width="68.88671875" style="1263" customWidth="1"/>
    <col min="13571" max="13571" width="7.88671875" style="1263" bestFit="1" customWidth="1"/>
    <col min="13572" max="13572" width="8.6640625" style="1263" bestFit="1" customWidth="1"/>
    <col min="13573" max="13573" width="11.44140625" style="1263"/>
    <col min="13574" max="13575" width="9.6640625" style="1263" bestFit="1" customWidth="1"/>
    <col min="13576" max="13824" width="11.44140625" style="1263"/>
    <col min="13825" max="13825" width="8.44140625" style="1263" customWidth="1"/>
    <col min="13826" max="13826" width="68.88671875" style="1263" customWidth="1"/>
    <col min="13827" max="13827" width="7.88671875" style="1263" bestFit="1" customWidth="1"/>
    <col min="13828" max="13828" width="8.6640625" style="1263" bestFit="1" customWidth="1"/>
    <col min="13829" max="13829" width="11.44140625" style="1263"/>
    <col min="13830" max="13831" width="9.6640625" style="1263" bestFit="1" customWidth="1"/>
    <col min="13832" max="14080" width="11.44140625" style="1263"/>
    <col min="14081" max="14081" width="8.44140625" style="1263" customWidth="1"/>
    <col min="14082" max="14082" width="68.88671875" style="1263" customWidth="1"/>
    <col min="14083" max="14083" width="7.88671875" style="1263" bestFit="1" customWidth="1"/>
    <col min="14084" max="14084" width="8.6640625" style="1263" bestFit="1" customWidth="1"/>
    <col min="14085" max="14085" width="11.44140625" style="1263"/>
    <col min="14086" max="14087" width="9.6640625" style="1263" bestFit="1" customWidth="1"/>
    <col min="14088" max="14336" width="11.44140625" style="1263"/>
    <col min="14337" max="14337" width="8.44140625" style="1263" customWidth="1"/>
    <col min="14338" max="14338" width="68.88671875" style="1263" customWidth="1"/>
    <col min="14339" max="14339" width="7.88671875" style="1263" bestFit="1" customWidth="1"/>
    <col min="14340" max="14340" width="8.6640625" style="1263" bestFit="1" customWidth="1"/>
    <col min="14341" max="14341" width="11.44140625" style="1263"/>
    <col min="14342" max="14343" width="9.6640625" style="1263" bestFit="1" customWidth="1"/>
    <col min="14344" max="14592" width="11.44140625" style="1263"/>
    <col min="14593" max="14593" width="8.44140625" style="1263" customWidth="1"/>
    <col min="14594" max="14594" width="68.88671875" style="1263" customWidth="1"/>
    <col min="14595" max="14595" width="7.88671875" style="1263" bestFit="1" customWidth="1"/>
    <col min="14596" max="14596" width="8.6640625" style="1263" bestFit="1" customWidth="1"/>
    <col min="14597" max="14597" width="11.44140625" style="1263"/>
    <col min="14598" max="14599" width="9.6640625" style="1263" bestFit="1" customWidth="1"/>
    <col min="14600" max="14848" width="11.44140625" style="1263"/>
    <col min="14849" max="14849" width="8.44140625" style="1263" customWidth="1"/>
    <col min="14850" max="14850" width="68.88671875" style="1263" customWidth="1"/>
    <col min="14851" max="14851" width="7.88671875" style="1263" bestFit="1" customWidth="1"/>
    <col min="14852" max="14852" width="8.6640625" style="1263" bestFit="1" customWidth="1"/>
    <col min="14853" max="14853" width="11.44140625" style="1263"/>
    <col min="14854" max="14855" width="9.6640625" style="1263" bestFit="1" customWidth="1"/>
    <col min="14856" max="15104" width="11.44140625" style="1263"/>
    <col min="15105" max="15105" width="8.44140625" style="1263" customWidth="1"/>
    <col min="15106" max="15106" width="68.88671875" style="1263" customWidth="1"/>
    <col min="15107" max="15107" width="7.88671875" style="1263" bestFit="1" customWidth="1"/>
    <col min="15108" max="15108" width="8.6640625" style="1263" bestFit="1" customWidth="1"/>
    <col min="15109" max="15109" width="11.44140625" style="1263"/>
    <col min="15110" max="15111" width="9.6640625" style="1263" bestFit="1" customWidth="1"/>
    <col min="15112" max="15360" width="11.44140625" style="1263"/>
    <col min="15361" max="15361" width="8.44140625" style="1263" customWidth="1"/>
    <col min="15362" max="15362" width="68.88671875" style="1263" customWidth="1"/>
    <col min="15363" max="15363" width="7.88671875" style="1263" bestFit="1" customWidth="1"/>
    <col min="15364" max="15364" width="8.6640625" style="1263" bestFit="1" customWidth="1"/>
    <col min="15365" max="15365" width="11.44140625" style="1263"/>
    <col min="15366" max="15367" width="9.6640625" style="1263" bestFit="1" customWidth="1"/>
    <col min="15368" max="15616" width="11.44140625" style="1263"/>
    <col min="15617" max="15617" width="8.44140625" style="1263" customWidth="1"/>
    <col min="15618" max="15618" width="68.88671875" style="1263" customWidth="1"/>
    <col min="15619" max="15619" width="7.88671875" style="1263" bestFit="1" customWidth="1"/>
    <col min="15620" max="15620" width="8.6640625" style="1263" bestFit="1" customWidth="1"/>
    <col min="15621" max="15621" width="11.44140625" style="1263"/>
    <col min="15622" max="15623" width="9.6640625" style="1263" bestFit="1" customWidth="1"/>
    <col min="15624" max="15872" width="11.44140625" style="1263"/>
    <col min="15873" max="15873" width="8.44140625" style="1263" customWidth="1"/>
    <col min="15874" max="15874" width="68.88671875" style="1263" customWidth="1"/>
    <col min="15875" max="15875" width="7.88671875" style="1263" bestFit="1" customWidth="1"/>
    <col min="15876" max="15876" width="8.6640625" style="1263" bestFit="1" customWidth="1"/>
    <col min="15877" max="15877" width="11.44140625" style="1263"/>
    <col min="15878" max="15879" width="9.6640625" style="1263" bestFit="1" customWidth="1"/>
    <col min="15880" max="16128" width="11.44140625" style="1263"/>
    <col min="16129" max="16129" width="8.44140625" style="1263" customWidth="1"/>
    <col min="16130" max="16130" width="68.88671875" style="1263" customWidth="1"/>
    <col min="16131" max="16131" width="7.88671875" style="1263" bestFit="1" customWidth="1"/>
    <col min="16132" max="16132" width="8.6640625" style="1263" bestFit="1" customWidth="1"/>
    <col min="16133" max="16133" width="11.44140625" style="1263"/>
    <col min="16134" max="16135" width="9.6640625" style="1263" bestFit="1" customWidth="1"/>
    <col min="16136" max="16384" width="11.44140625" style="1263"/>
  </cols>
  <sheetData>
    <row r="2" spans="1:10" ht="15.6">
      <c r="A2" s="2165" t="s">
        <v>713</v>
      </c>
      <c r="B2" s="2165"/>
      <c r="C2" s="2165"/>
      <c r="D2" s="2165"/>
      <c r="E2" s="2165"/>
      <c r="F2" s="2165"/>
      <c r="G2" s="2165"/>
    </row>
    <row r="4" spans="1:10" ht="17.399999999999999">
      <c r="A4" s="2169" t="s">
        <v>253</v>
      </c>
      <c r="B4" s="2169"/>
      <c r="C4" s="2169"/>
      <c r="D4" s="2169"/>
      <c r="E4" s="2169"/>
      <c r="F4" s="2169"/>
      <c r="G4" s="2169"/>
    </row>
    <row r="5" spans="1:10" ht="17.399999999999999">
      <c r="A5" s="2169" t="s">
        <v>734</v>
      </c>
      <c r="B5" s="2169"/>
      <c r="C5" s="2169"/>
      <c r="D5" s="2169"/>
      <c r="E5" s="2169"/>
      <c r="F5" s="2169"/>
      <c r="G5" s="2169"/>
    </row>
    <row r="6" spans="1:10" ht="18" thickBot="1">
      <c r="A6" s="1428"/>
      <c r="B6" s="1428"/>
      <c r="C6" s="1428"/>
      <c r="D6" s="1428"/>
      <c r="E6" s="1428"/>
      <c r="F6" s="1428"/>
      <c r="G6" s="1428"/>
    </row>
    <row r="7" spans="1:10" ht="13.8" thickBot="1">
      <c r="A7" s="1340"/>
      <c r="B7" s="1341"/>
      <c r="C7" s="1429"/>
      <c r="D7" s="1429"/>
      <c r="E7" s="2172" t="s">
        <v>166</v>
      </c>
      <c r="F7" s="2173"/>
      <c r="G7" s="2174"/>
    </row>
    <row r="8" spans="1:10" ht="66">
      <c r="A8" s="1889" t="s">
        <v>8</v>
      </c>
      <c r="B8" s="1890" t="s">
        <v>125</v>
      </c>
      <c r="C8" s="1430" t="s">
        <v>1011</v>
      </c>
      <c r="D8" s="1430" t="s">
        <v>1010</v>
      </c>
      <c r="E8" s="1431" t="s">
        <v>167</v>
      </c>
      <c r="F8" s="1431" t="s">
        <v>732</v>
      </c>
      <c r="G8" s="1432" t="s">
        <v>1026</v>
      </c>
    </row>
    <row r="9" spans="1:10">
      <c r="A9" s="1349" t="s">
        <v>9</v>
      </c>
      <c r="B9" s="1350" t="s">
        <v>10</v>
      </c>
      <c r="C9" s="1433">
        <v>222</v>
      </c>
      <c r="D9" s="1433">
        <v>68</v>
      </c>
      <c r="E9" s="1433">
        <v>57</v>
      </c>
      <c r="F9" s="1433">
        <v>35</v>
      </c>
      <c r="G9" s="1434">
        <f t="shared" ref="G9:G65" si="0">F9/D9</f>
        <v>0.51470588235294112</v>
      </c>
      <c r="I9" s="1263">
        <v>57</v>
      </c>
      <c r="J9" s="1263" t="s">
        <v>9</v>
      </c>
    </row>
    <row r="10" spans="1:10">
      <c r="A10" s="1352" t="s">
        <v>11</v>
      </c>
      <c r="B10" s="1353" t="s">
        <v>12</v>
      </c>
      <c r="C10" s="1435">
        <v>228</v>
      </c>
      <c r="D10" s="1435">
        <v>53</v>
      </c>
      <c r="E10" s="1435">
        <v>32</v>
      </c>
      <c r="F10" s="1435">
        <v>25</v>
      </c>
      <c r="G10" s="1436">
        <f t="shared" si="0"/>
        <v>0.47169811320754718</v>
      </c>
      <c r="I10" s="1263">
        <v>32</v>
      </c>
      <c r="J10" s="1263" t="s">
        <v>11</v>
      </c>
    </row>
    <row r="11" spans="1:10">
      <c r="A11" s="1352" t="s">
        <v>13</v>
      </c>
      <c r="B11" s="1353" t="s">
        <v>14</v>
      </c>
      <c r="C11" s="1435">
        <v>45</v>
      </c>
      <c r="D11" s="1435">
        <v>13</v>
      </c>
      <c r="E11" s="1435">
        <v>4</v>
      </c>
      <c r="F11" s="1435">
        <v>2</v>
      </c>
      <c r="G11" s="1436">
        <f t="shared" si="0"/>
        <v>0.15384615384615385</v>
      </c>
      <c r="I11" s="1263">
        <v>4</v>
      </c>
      <c r="J11" s="1263" t="s">
        <v>13</v>
      </c>
    </row>
    <row r="12" spans="1:10">
      <c r="A12" s="1352" t="s">
        <v>15</v>
      </c>
      <c r="B12" s="1353" t="s">
        <v>16</v>
      </c>
      <c r="C12" s="1435">
        <v>242</v>
      </c>
      <c r="D12" s="1435">
        <v>102</v>
      </c>
      <c r="E12" s="1435">
        <v>17</v>
      </c>
      <c r="F12" s="1435">
        <v>10</v>
      </c>
      <c r="G12" s="1436">
        <f t="shared" si="0"/>
        <v>9.8039215686274508E-2</v>
      </c>
      <c r="I12" s="1263">
        <v>17</v>
      </c>
      <c r="J12" s="1263" t="s">
        <v>15</v>
      </c>
    </row>
    <row r="13" spans="1:10">
      <c r="A13" s="1352" t="s">
        <v>17</v>
      </c>
      <c r="B13" s="1353" t="s">
        <v>18</v>
      </c>
      <c r="C13" s="1435">
        <v>309</v>
      </c>
      <c r="D13" s="1435">
        <v>185</v>
      </c>
      <c r="E13" s="1435">
        <v>38</v>
      </c>
      <c r="F13" s="1435">
        <v>21</v>
      </c>
      <c r="G13" s="1436">
        <f t="shared" si="0"/>
        <v>0.11351351351351352</v>
      </c>
      <c r="I13" s="1263">
        <v>38</v>
      </c>
      <c r="J13" s="1263" t="s">
        <v>17</v>
      </c>
    </row>
    <row r="14" spans="1:10">
      <c r="A14" s="1352" t="s">
        <v>19</v>
      </c>
      <c r="B14" s="1353" t="s">
        <v>20</v>
      </c>
      <c r="C14" s="1435">
        <v>350</v>
      </c>
      <c r="D14" s="1435">
        <v>195</v>
      </c>
      <c r="E14" s="1435">
        <v>72</v>
      </c>
      <c r="F14" s="1435">
        <v>47</v>
      </c>
      <c r="G14" s="1436">
        <f t="shared" si="0"/>
        <v>0.24102564102564103</v>
      </c>
      <c r="I14" s="1263">
        <v>72</v>
      </c>
      <c r="J14" s="1263" t="s">
        <v>19</v>
      </c>
    </row>
    <row r="15" spans="1:10">
      <c r="A15" s="1352" t="s">
        <v>21</v>
      </c>
      <c r="B15" s="1353" t="s">
        <v>22</v>
      </c>
      <c r="C15" s="1435">
        <v>273</v>
      </c>
      <c r="D15" s="1435">
        <v>182</v>
      </c>
      <c r="E15" s="1435">
        <v>26</v>
      </c>
      <c r="F15" s="1435">
        <v>14</v>
      </c>
      <c r="G15" s="1436">
        <f t="shared" si="0"/>
        <v>7.6923076923076927E-2</v>
      </c>
      <c r="I15" s="1263">
        <v>26</v>
      </c>
      <c r="J15" s="1263" t="s">
        <v>21</v>
      </c>
    </row>
    <row r="16" spans="1:10">
      <c r="A16" s="1352" t="s">
        <v>23</v>
      </c>
      <c r="B16" s="1353" t="s">
        <v>24</v>
      </c>
      <c r="C16" s="1435">
        <v>61</v>
      </c>
      <c r="D16" s="1435">
        <v>45</v>
      </c>
      <c r="E16" s="1435">
        <v>9</v>
      </c>
      <c r="F16" s="1435">
        <v>4</v>
      </c>
      <c r="G16" s="1436">
        <f t="shared" si="0"/>
        <v>8.8888888888888892E-2</v>
      </c>
      <c r="I16" s="1263">
        <v>9</v>
      </c>
      <c r="J16" s="1263" t="s">
        <v>23</v>
      </c>
    </row>
    <row r="17" spans="1:10">
      <c r="A17" s="1352" t="s">
        <v>25</v>
      </c>
      <c r="B17" s="1353" t="s">
        <v>26</v>
      </c>
      <c r="C17" s="1435">
        <v>236</v>
      </c>
      <c r="D17" s="1435">
        <v>146</v>
      </c>
      <c r="E17" s="1435">
        <v>11</v>
      </c>
      <c r="F17" s="1435">
        <v>6</v>
      </c>
      <c r="G17" s="1436">
        <f t="shared" si="0"/>
        <v>4.1095890410958902E-2</v>
      </c>
      <c r="I17" s="1263">
        <v>11</v>
      </c>
      <c r="J17" s="1263" t="s">
        <v>25</v>
      </c>
    </row>
    <row r="18" spans="1:10">
      <c r="A18" s="1352" t="s">
        <v>27</v>
      </c>
      <c r="B18" s="1353" t="s">
        <v>28</v>
      </c>
      <c r="C18" s="1435">
        <v>99</v>
      </c>
      <c r="D18" s="1435">
        <v>59</v>
      </c>
      <c r="E18" s="1435">
        <v>7</v>
      </c>
      <c r="F18" s="1435">
        <v>2</v>
      </c>
      <c r="G18" s="1436">
        <f t="shared" si="0"/>
        <v>3.3898305084745763E-2</v>
      </c>
      <c r="I18" s="1263">
        <v>7</v>
      </c>
      <c r="J18" s="1263" t="s">
        <v>27</v>
      </c>
    </row>
    <row r="19" spans="1:10">
      <c r="A19" s="1352" t="s">
        <v>29</v>
      </c>
      <c r="B19" s="1353" t="s">
        <v>30</v>
      </c>
      <c r="C19" s="1435">
        <v>191</v>
      </c>
      <c r="D19" s="1435">
        <v>129</v>
      </c>
      <c r="E19" s="1435">
        <v>48</v>
      </c>
      <c r="F19" s="1435">
        <v>23</v>
      </c>
      <c r="G19" s="1436">
        <f t="shared" si="0"/>
        <v>0.17829457364341086</v>
      </c>
      <c r="I19" s="1263">
        <v>48</v>
      </c>
      <c r="J19" s="1263" t="s">
        <v>29</v>
      </c>
    </row>
    <row r="20" spans="1:10">
      <c r="A20" s="1352" t="s">
        <v>31</v>
      </c>
      <c r="B20" s="1353" t="s">
        <v>32</v>
      </c>
      <c r="C20" s="1435">
        <v>52</v>
      </c>
      <c r="D20" s="1435">
        <v>42</v>
      </c>
      <c r="E20" s="1435">
        <v>5</v>
      </c>
      <c r="F20" s="1435">
        <v>1</v>
      </c>
      <c r="G20" s="1436">
        <f t="shared" si="0"/>
        <v>2.3809523809523808E-2</v>
      </c>
      <c r="I20" s="1263">
        <v>5</v>
      </c>
      <c r="J20" s="1263" t="s">
        <v>31</v>
      </c>
    </row>
    <row r="21" spans="1:10">
      <c r="A21" s="1352" t="s">
        <v>33</v>
      </c>
      <c r="B21" s="1353" t="s">
        <v>34</v>
      </c>
      <c r="C21" s="1435">
        <v>32</v>
      </c>
      <c r="D21" s="1435">
        <v>22</v>
      </c>
      <c r="E21" s="1435">
        <v>1</v>
      </c>
      <c r="F21" s="1435"/>
      <c r="G21" s="1436">
        <f t="shared" si="0"/>
        <v>0</v>
      </c>
      <c r="I21" s="1263">
        <v>1</v>
      </c>
      <c r="J21" s="1263" t="s">
        <v>33</v>
      </c>
    </row>
    <row r="22" spans="1:10">
      <c r="A22" s="1352" t="s">
        <v>35</v>
      </c>
      <c r="B22" s="1353" t="s">
        <v>36</v>
      </c>
      <c r="C22" s="1435">
        <v>167</v>
      </c>
      <c r="D22" s="1435">
        <v>100</v>
      </c>
      <c r="E22" s="1435">
        <v>26</v>
      </c>
      <c r="F22" s="1435">
        <v>9</v>
      </c>
      <c r="G22" s="1436">
        <f t="shared" si="0"/>
        <v>0.09</v>
      </c>
      <c r="I22" s="1263">
        <v>26</v>
      </c>
      <c r="J22" s="1263" t="s">
        <v>35</v>
      </c>
    </row>
    <row r="23" spans="1:10" ht="26.4">
      <c r="A23" s="1352" t="s">
        <v>37</v>
      </c>
      <c r="B23" s="1353" t="s">
        <v>122</v>
      </c>
      <c r="C23" s="1435">
        <v>130</v>
      </c>
      <c r="D23" s="1435">
        <v>96</v>
      </c>
      <c r="E23" s="1435">
        <v>15</v>
      </c>
      <c r="F23" s="1435">
        <v>4</v>
      </c>
      <c r="G23" s="1436">
        <f t="shared" si="0"/>
        <v>4.1666666666666664E-2</v>
      </c>
      <c r="I23" s="1263">
        <v>15</v>
      </c>
      <c r="J23" s="1263" t="s">
        <v>37</v>
      </c>
    </row>
    <row r="24" spans="1:10">
      <c r="A24" s="1352" t="s">
        <v>38</v>
      </c>
      <c r="B24" s="1353" t="s">
        <v>39</v>
      </c>
      <c r="C24" s="1435">
        <v>273</v>
      </c>
      <c r="D24" s="1435">
        <v>163</v>
      </c>
      <c r="E24" s="1435">
        <v>48</v>
      </c>
      <c r="F24" s="1435">
        <v>21</v>
      </c>
      <c r="G24" s="1436">
        <f t="shared" si="0"/>
        <v>0.12883435582822086</v>
      </c>
      <c r="I24" s="1263">
        <v>48</v>
      </c>
      <c r="J24" s="1263" t="s">
        <v>38</v>
      </c>
    </row>
    <row r="25" spans="1:10">
      <c r="A25" s="1352" t="s">
        <v>40</v>
      </c>
      <c r="B25" s="1353" t="s">
        <v>41</v>
      </c>
      <c r="C25" s="1435">
        <v>231</v>
      </c>
      <c r="D25" s="1435">
        <v>179</v>
      </c>
      <c r="E25" s="1435">
        <v>12</v>
      </c>
      <c r="F25" s="1435">
        <v>4</v>
      </c>
      <c r="G25" s="1436">
        <f t="shared" si="0"/>
        <v>2.23463687150838E-2</v>
      </c>
      <c r="I25" s="1263">
        <v>12</v>
      </c>
      <c r="J25" s="1263" t="s">
        <v>40</v>
      </c>
    </row>
    <row r="26" spans="1:10" ht="39.6">
      <c r="A26" s="1352" t="s">
        <v>42</v>
      </c>
      <c r="B26" s="1353" t="s">
        <v>230</v>
      </c>
      <c r="C26" s="1435">
        <v>403</v>
      </c>
      <c r="D26" s="1435">
        <v>226</v>
      </c>
      <c r="E26" s="1435">
        <v>30</v>
      </c>
      <c r="F26" s="1435">
        <v>8</v>
      </c>
      <c r="G26" s="1436">
        <f t="shared" si="0"/>
        <v>3.5398230088495575E-2</v>
      </c>
      <c r="I26" s="1263">
        <v>30</v>
      </c>
      <c r="J26" s="1263" t="s">
        <v>42</v>
      </c>
    </row>
    <row r="27" spans="1:10">
      <c r="A27" s="1352" t="s">
        <v>43</v>
      </c>
      <c r="B27" s="1353" t="s">
        <v>44</v>
      </c>
      <c r="C27" s="1435">
        <v>414</v>
      </c>
      <c r="D27" s="1435">
        <v>221</v>
      </c>
      <c r="E27" s="1435">
        <v>28</v>
      </c>
      <c r="F27" s="1435">
        <v>14</v>
      </c>
      <c r="G27" s="1436">
        <f t="shared" si="0"/>
        <v>6.3348416289592757E-2</v>
      </c>
      <c r="I27" s="1263">
        <v>28</v>
      </c>
      <c r="J27" s="1263" t="s">
        <v>43</v>
      </c>
    </row>
    <row r="28" spans="1:10">
      <c r="A28" s="1352" t="s">
        <v>45</v>
      </c>
      <c r="B28" s="1353" t="s">
        <v>320</v>
      </c>
      <c r="C28" s="1435">
        <v>175</v>
      </c>
      <c r="D28" s="1435">
        <v>133</v>
      </c>
      <c r="E28" s="1435">
        <v>5</v>
      </c>
      <c r="F28" s="1435">
        <v>1</v>
      </c>
      <c r="G28" s="1436">
        <f t="shared" si="0"/>
        <v>7.5187969924812026E-3</v>
      </c>
      <c r="I28" s="1263">
        <v>5</v>
      </c>
      <c r="J28" s="1263" t="s">
        <v>45</v>
      </c>
    </row>
    <row r="29" spans="1:10" ht="26.4">
      <c r="A29" s="1352">
        <v>21</v>
      </c>
      <c r="B29" s="1353" t="s">
        <v>231</v>
      </c>
      <c r="C29" s="1435">
        <v>199</v>
      </c>
      <c r="D29" s="1942">
        <v>132</v>
      </c>
      <c r="E29" s="1435">
        <v>15</v>
      </c>
      <c r="F29" s="1435">
        <v>3</v>
      </c>
      <c r="G29" s="1436">
        <f>F29/D29</f>
        <v>2.2727272727272728E-2</v>
      </c>
      <c r="I29" s="1263">
        <v>15</v>
      </c>
      <c r="J29" s="1263" t="s">
        <v>46</v>
      </c>
    </row>
    <row r="30" spans="1:10" ht="26.4">
      <c r="A30" s="1352" t="s">
        <v>47</v>
      </c>
      <c r="B30" s="1353" t="s">
        <v>232</v>
      </c>
      <c r="C30" s="1435">
        <v>426</v>
      </c>
      <c r="D30" s="1435">
        <v>312</v>
      </c>
      <c r="E30" s="1435">
        <v>37</v>
      </c>
      <c r="F30" s="1435">
        <v>11</v>
      </c>
      <c r="G30" s="1436">
        <f t="shared" si="0"/>
        <v>3.5256410256410256E-2</v>
      </c>
      <c r="I30" s="1263">
        <v>37</v>
      </c>
      <c r="J30" s="1263" t="s">
        <v>47</v>
      </c>
    </row>
    <row r="31" spans="1:10">
      <c r="A31" s="1352" t="s">
        <v>48</v>
      </c>
      <c r="B31" s="1353" t="s">
        <v>49</v>
      </c>
      <c r="C31" s="1435">
        <v>182</v>
      </c>
      <c r="D31" s="1435">
        <v>136</v>
      </c>
      <c r="E31" s="1435">
        <v>18</v>
      </c>
      <c r="F31" s="1435">
        <v>9</v>
      </c>
      <c r="G31" s="1436">
        <f t="shared" si="0"/>
        <v>6.6176470588235295E-2</v>
      </c>
      <c r="I31" s="1263">
        <v>18</v>
      </c>
      <c r="J31" s="1263" t="s">
        <v>48</v>
      </c>
    </row>
    <row r="32" spans="1:10">
      <c r="A32" s="1352" t="s">
        <v>50</v>
      </c>
      <c r="B32" s="1353" t="s">
        <v>51</v>
      </c>
      <c r="C32" s="1435">
        <v>159</v>
      </c>
      <c r="D32" s="1435">
        <v>71</v>
      </c>
      <c r="E32" s="1435">
        <v>6</v>
      </c>
      <c r="F32" s="1435">
        <v>1</v>
      </c>
      <c r="G32" s="1436">
        <f t="shared" si="0"/>
        <v>1.4084507042253521E-2</v>
      </c>
      <c r="I32" s="1263">
        <v>6</v>
      </c>
      <c r="J32" s="1263" t="s">
        <v>50</v>
      </c>
    </row>
    <row r="33" spans="1:13">
      <c r="A33" s="1352" t="s">
        <v>52</v>
      </c>
      <c r="B33" s="1353" t="s">
        <v>53</v>
      </c>
      <c r="C33" s="1435">
        <v>253</v>
      </c>
      <c r="D33" s="1435">
        <v>238</v>
      </c>
      <c r="E33" s="1435">
        <v>16</v>
      </c>
      <c r="F33" s="1435">
        <v>7</v>
      </c>
      <c r="G33" s="1436">
        <f t="shared" si="0"/>
        <v>2.9411764705882353E-2</v>
      </c>
      <c r="I33" s="1263">
        <v>16</v>
      </c>
      <c r="J33" s="1263" t="s">
        <v>52</v>
      </c>
    </row>
    <row r="34" spans="1:13">
      <c r="A34" s="1352" t="s">
        <v>54</v>
      </c>
      <c r="B34" s="1353" t="s">
        <v>55</v>
      </c>
      <c r="C34" s="1435">
        <v>388</v>
      </c>
      <c r="D34" s="1435">
        <v>310</v>
      </c>
      <c r="E34" s="1435">
        <v>44</v>
      </c>
      <c r="F34" s="1435">
        <v>23</v>
      </c>
      <c r="G34" s="1436">
        <f t="shared" si="0"/>
        <v>7.4193548387096769E-2</v>
      </c>
      <c r="I34" s="1263">
        <v>44</v>
      </c>
      <c r="J34" s="1263" t="s">
        <v>54</v>
      </c>
    </row>
    <row r="35" spans="1:13">
      <c r="A35" s="1352" t="s">
        <v>56</v>
      </c>
      <c r="B35" s="1353" t="s">
        <v>57</v>
      </c>
      <c r="C35" s="1435">
        <v>625</v>
      </c>
      <c r="D35" s="1435">
        <v>435</v>
      </c>
      <c r="E35" s="1435">
        <v>80</v>
      </c>
      <c r="F35" s="1435">
        <v>33</v>
      </c>
      <c r="G35" s="1436">
        <f t="shared" si="0"/>
        <v>7.586206896551724E-2</v>
      </c>
      <c r="I35" s="1263">
        <v>80</v>
      </c>
      <c r="J35" s="1263" t="s">
        <v>56</v>
      </c>
    </row>
    <row r="36" spans="1:13">
      <c r="A36" s="1352" t="s">
        <v>58</v>
      </c>
      <c r="B36" s="1353" t="s">
        <v>59</v>
      </c>
      <c r="C36" s="1435">
        <v>362</v>
      </c>
      <c r="D36" s="1435">
        <v>320</v>
      </c>
      <c r="E36" s="1435">
        <v>22</v>
      </c>
      <c r="F36" s="1435">
        <v>7</v>
      </c>
      <c r="G36" s="1436">
        <f t="shared" si="0"/>
        <v>2.1874999999999999E-2</v>
      </c>
      <c r="I36" s="1263">
        <v>22</v>
      </c>
      <c r="J36" s="1263" t="s">
        <v>58</v>
      </c>
    </row>
    <row r="37" spans="1:13">
      <c r="A37" s="1352" t="s">
        <v>60</v>
      </c>
      <c r="B37" s="1353" t="s">
        <v>61</v>
      </c>
      <c r="C37" s="1435">
        <v>162</v>
      </c>
      <c r="D37" s="1435">
        <v>132</v>
      </c>
      <c r="E37" s="1435">
        <v>5</v>
      </c>
      <c r="F37" s="1435">
        <v>3</v>
      </c>
      <c r="G37" s="1436">
        <f t="shared" si="0"/>
        <v>2.2727272727272728E-2</v>
      </c>
      <c r="I37" s="1263">
        <v>5</v>
      </c>
      <c r="J37" s="1263" t="s">
        <v>60</v>
      </c>
    </row>
    <row r="38" spans="1:13">
      <c r="A38" s="1352" t="s">
        <v>62</v>
      </c>
      <c r="B38" s="1353" t="s">
        <v>63</v>
      </c>
      <c r="C38" s="1435">
        <v>213</v>
      </c>
      <c r="D38" s="1435">
        <v>180</v>
      </c>
      <c r="E38" s="1435">
        <v>10</v>
      </c>
      <c r="F38" s="1435">
        <v>3</v>
      </c>
      <c r="G38" s="1436">
        <f t="shared" si="0"/>
        <v>1.6666666666666666E-2</v>
      </c>
      <c r="I38" s="1263">
        <v>10</v>
      </c>
      <c r="J38" s="1263" t="s">
        <v>62</v>
      </c>
      <c r="M38" s="1263">
        <f>49777/9220</f>
        <v>5.3988069414316699</v>
      </c>
    </row>
    <row r="39" spans="1:13">
      <c r="A39" s="1352" t="s">
        <v>64</v>
      </c>
      <c r="B39" s="1353" t="s">
        <v>65</v>
      </c>
      <c r="C39" s="1435">
        <v>307</v>
      </c>
      <c r="D39" s="1435">
        <v>278</v>
      </c>
      <c r="E39" s="1435">
        <v>9</v>
      </c>
      <c r="F39" s="1435">
        <v>4</v>
      </c>
      <c r="G39" s="1436">
        <f t="shared" si="0"/>
        <v>1.4388489208633094E-2</v>
      </c>
      <c r="I39" s="1263">
        <v>9</v>
      </c>
      <c r="J39" s="1263" t="s">
        <v>64</v>
      </c>
    </row>
    <row r="40" spans="1:13">
      <c r="A40" s="1352" t="s">
        <v>66</v>
      </c>
      <c r="B40" s="1353" t="s">
        <v>67</v>
      </c>
      <c r="C40" s="1435">
        <v>258</v>
      </c>
      <c r="D40" s="1435">
        <v>231</v>
      </c>
      <c r="E40" s="1435">
        <v>8</v>
      </c>
      <c r="F40" s="1435">
        <v>1</v>
      </c>
      <c r="G40" s="1436">
        <f t="shared" si="0"/>
        <v>4.329004329004329E-3</v>
      </c>
      <c r="I40" s="1263">
        <v>8</v>
      </c>
      <c r="J40" s="1263" t="s">
        <v>66</v>
      </c>
    </row>
    <row r="41" spans="1:13">
      <c r="A41" s="1355" t="s">
        <v>68</v>
      </c>
      <c r="B41" s="1353" t="s">
        <v>69</v>
      </c>
      <c r="C41" s="1435">
        <v>280</v>
      </c>
      <c r="D41" s="1435">
        <v>245</v>
      </c>
      <c r="E41" s="1435">
        <v>13</v>
      </c>
      <c r="F41" s="1435">
        <v>4</v>
      </c>
      <c r="G41" s="1436">
        <f t="shared" si="0"/>
        <v>1.6326530612244899E-2</v>
      </c>
      <c r="I41" s="1263">
        <v>13</v>
      </c>
      <c r="J41" s="1263" t="s">
        <v>68</v>
      </c>
    </row>
    <row r="42" spans="1:13">
      <c r="A42" s="1352" t="s">
        <v>70</v>
      </c>
      <c r="B42" s="1353" t="s">
        <v>71</v>
      </c>
      <c r="C42" s="1435">
        <v>78</v>
      </c>
      <c r="D42" s="1435">
        <v>72</v>
      </c>
      <c r="E42" s="1435">
        <v>2</v>
      </c>
      <c r="F42" s="1435"/>
      <c r="G42" s="1436">
        <f t="shared" si="0"/>
        <v>0</v>
      </c>
      <c r="I42" s="1263">
        <v>2</v>
      </c>
      <c r="J42" s="1263" t="s">
        <v>70</v>
      </c>
    </row>
    <row r="43" spans="1:13">
      <c r="A43" s="1352" t="s">
        <v>72</v>
      </c>
      <c r="B43" s="1353" t="s">
        <v>73</v>
      </c>
      <c r="C43" s="1435">
        <v>142</v>
      </c>
      <c r="D43" s="1435">
        <v>133</v>
      </c>
      <c r="E43" s="1435">
        <v>10</v>
      </c>
      <c r="F43" s="1435">
        <v>3</v>
      </c>
      <c r="G43" s="1436">
        <f t="shared" si="0"/>
        <v>2.2556390977443608E-2</v>
      </c>
      <c r="I43" s="1263">
        <v>10</v>
      </c>
      <c r="J43" s="1263" t="s">
        <v>72</v>
      </c>
    </row>
    <row r="44" spans="1:13">
      <c r="A44" s="1352" t="s">
        <v>74</v>
      </c>
      <c r="B44" s="1353" t="s">
        <v>75</v>
      </c>
      <c r="C44" s="1435">
        <v>201</v>
      </c>
      <c r="D44" s="1435">
        <v>181</v>
      </c>
      <c r="E44" s="1435">
        <v>8</v>
      </c>
      <c r="F44" s="1435">
        <v>4</v>
      </c>
      <c r="G44" s="1436">
        <f t="shared" si="0"/>
        <v>2.2099447513812154E-2</v>
      </c>
      <c r="I44" s="1263">
        <v>8</v>
      </c>
      <c r="J44" s="1263" t="s">
        <v>74</v>
      </c>
    </row>
    <row r="45" spans="1:13">
      <c r="A45" s="1352" t="s">
        <v>76</v>
      </c>
      <c r="B45" s="1353" t="s">
        <v>77</v>
      </c>
      <c r="C45" s="1435">
        <v>92</v>
      </c>
      <c r="D45" s="1435">
        <v>85</v>
      </c>
      <c r="E45" s="1435">
        <v>1</v>
      </c>
      <c r="F45" s="1435">
        <v>1</v>
      </c>
      <c r="G45" s="1436">
        <f t="shared" si="0"/>
        <v>1.1764705882352941E-2</v>
      </c>
      <c r="I45" s="1263">
        <v>1</v>
      </c>
      <c r="J45" s="1263" t="s">
        <v>76</v>
      </c>
    </row>
    <row r="46" spans="1:13">
      <c r="A46" s="1352" t="s">
        <v>78</v>
      </c>
      <c r="B46" s="1353" t="s">
        <v>79</v>
      </c>
      <c r="C46" s="1435">
        <v>404</v>
      </c>
      <c r="D46" s="1435">
        <v>272</v>
      </c>
      <c r="E46" s="1435">
        <v>53</v>
      </c>
      <c r="F46" s="1435">
        <v>25</v>
      </c>
      <c r="G46" s="1436">
        <f t="shared" si="0"/>
        <v>9.1911764705882359E-2</v>
      </c>
      <c r="I46" s="1263">
        <v>53</v>
      </c>
      <c r="J46" s="1263" t="s">
        <v>78</v>
      </c>
    </row>
    <row r="47" spans="1:13">
      <c r="A47" s="1352" t="s">
        <v>80</v>
      </c>
      <c r="B47" s="1353" t="s">
        <v>81</v>
      </c>
      <c r="C47" s="1435">
        <v>394</v>
      </c>
      <c r="D47" s="1435">
        <v>227</v>
      </c>
      <c r="E47" s="1435">
        <v>29</v>
      </c>
      <c r="F47" s="1435">
        <v>15</v>
      </c>
      <c r="G47" s="1436">
        <f t="shared" si="0"/>
        <v>6.6079295154185022E-2</v>
      </c>
      <c r="I47" s="1263">
        <v>29</v>
      </c>
      <c r="J47" s="1263" t="s">
        <v>80</v>
      </c>
    </row>
    <row r="48" spans="1:13">
      <c r="A48" s="1352" t="s">
        <v>82</v>
      </c>
      <c r="B48" s="1353" t="s">
        <v>83</v>
      </c>
      <c r="C48" s="1435">
        <v>191</v>
      </c>
      <c r="D48" s="1435">
        <v>155</v>
      </c>
      <c r="E48" s="1435">
        <v>20</v>
      </c>
      <c r="F48" s="1435">
        <v>8</v>
      </c>
      <c r="G48" s="1436">
        <f t="shared" si="0"/>
        <v>5.1612903225806452E-2</v>
      </c>
      <c r="I48" s="1263">
        <v>20</v>
      </c>
      <c r="J48" s="1263" t="s">
        <v>82</v>
      </c>
    </row>
    <row r="49" spans="1:14">
      <c r="A49" s="1352" t="s">
        <v>84</v>
      </c>
      <c r="B49" s="1353" t="s">
        <v>516</v>
      </c>
      <c r="C49" s="1435">
        <v>261</v>
      </c>
      <c r="D49" s="1435">
        <v>156</v>
      </c>
      <c r="E49" s="1435">
        <v>18</v>
      </c>
      <c r="F49" s="1435">
        <v>8</v>
      </c>
      <c r="G49" s="1436">
        <f t="shared" si="0"/>
        <v>5.128205128205128E-2</v>
      </c>
      <c r="I49" s="1263">
        <v>18</v>
      </c>
      <c r="J49" s="1263" t="s">
        <v>84</v>
      </c>
      <c r="L49" s="1765">
        <f>495/6743</f>
        <v>7.3409461663947795E-2</v>
      </c>
      <c r="N49" s="1765">
        <f>495/4071</f>
        <v>0.12159174649963155</v>
      </c>
    </row>
    <row r="50" spans="1:14">
      <c r="A50" s="1352" t="s">
        <v>85</v>
      </c>
      <c r="B50" s="1353" t="s">
        <v>86</v>
      </c>
      <c r="C50" s="1435">
        <v>546</v>
      </c>
      <c r="D50" s="1435">
        <v>443</v>
      </c>
      <c r="E50" s="1435">
        <v>19</v>
      </c>
      <c r="F50" s="1435">
        <v>10</v>
      </c>
      <c r="G50" s="1436">
        <f t="shared" si="0"/>
        <v>2.2573363431151242E-2</v>
      </c>
      <c r="I50" s="1263">
        <v>19</v>
      </c>
      <c r="J50" s="1263" t="s">
        <v>85</v>
      </c>
    </row>
    <row r="51" spans="1:14">
      <c r="A51" s="1352" t="s">
        <v>87</v>
      </c>
      <c r="B51" s="1353" t="s">
        <v>88</v>
      </c>
      <c r="C51" s="1435">
        <v>677</v>
      </c>
      <c r="D51" s="1435">
        <v>492</v>
      </c>
      <c r="E51" s="1435">
        <v>16</v>
      </c>
      <c r="F51" s="1435">
        <v>3</v>
      </c>
      <c r="G51" s="1436">
        <f t="shared" si="0"/>
        <v>6.0975609756097563E-3</v>
      </c>
      <c r="I51" s="1263">
        <v>16</v>
      </c>
      <c r="J51" s="1263" t="s">
        <v>87</v>
      </c>
    </row>
    <row r="52" spans="1:14">
      <c r="A52" s="1352" t="s">
        <v>89</v>
      </c>
      <c r="B52" s="1353" t="s">
        <v>90</v>
      </c>
      <c r="C52" s="1435">
        <v>249</v>
      </c>
      <c r="D52" s="1435">
        <v>206</v>
      </c>
      <c r="E52" s="1435">
        <v>16</v>
      </c>
      <c r="F52" s="1435">
        <v>3</v>
      </c>
      <c r="G52" s="1436">
        <f t="shared" si="0"/>
        <v>1.4563106796116505E-2</v>
      </c>
      <c r="I52" s="1263">
        <v>16</v>
      </c>
      <c r="J52" s="1263" t="s">
        <v>89</v>
      </c>
    </row>
    <row r="53" spans="1:14">
      <c r="A53" s="1352" t="s">
        <v>91</v>
      </c>
      <c r="B53" s="1353" t="s">
        <v>92</v>
      </c>
      <c r="C53" s="1435">
        <v>329</v>
      </c>
      <c r="D53" s="1435">
        <v>212</v>
      </c>
      <c r="E53" s="1435">
        <v>17</v>
      </c>
      <c r="F53" s="1435">
        <v>4</v>
      </c>
      <c r="G53" s="1436">
        <f t="shared" si="0"/>
        <v>1.8867924528301886E-2</v>
      </c>
      <c r="I53" s="1263">
        <v>17</v>
      </c>
      <c r="J53" s="1263" t="s">
        <v>91</v>
      </c>
    </row>
    <row r="54" spans="1:14">
      <c r="A54" s="1352" t="s">
        <v>93</v>
      </c>
      <c r="B54" s="1353" t="s">
        <v>94</v>
      </c>
      <c r="C54" s="1435">
        <v>292</v>
      </c>
      <c r="D54" s="1435">
        <v>255</v>
      </c>
      <c r="E54" s="1435">
        <v>7</v>
      </c>
      <c r="F54" s="1435">
        <v>1</v>
      </c>
      <c r="G54" s="1436">
        <f t="shared" si="0"/>
        <v>3.9215686274509803E-3</v>
      </c>
      <c r="I54" s="1263">
        <v>7</v>
      </c>
      <c r="J54" s="1263" t="s">
        <v>93</v>
      </c>
    </row>
    <row r="55" spans="1:14">
      <c r="A55" s="1352" t="s">
        <v>95</v>
      </c>
      <c r="B55" s="1353" t="s">
        <v>96</v>
      </c>
      <c r="C55" s="1435">
        <v>257</v>
      </c>
      <c r="D55" s="1435">
        <v>193</v>
      </c>
      <c r="E55" s="1435">
        <v>4</v>
      </c>
      <c r="F55" s="1435"/>
      <c r="G55" s="1436">
        <f t="shared" si="0"/>
        <v>0</v>
      </c>
      <c r="I55" s="1263">
        <v>4</v>
      </c>
      <c r="J55" s="1263" t="s">
        <v>95</v>
      </c>
    </row>
    <row r="56" spans="1:14">
      <c r="A56" s="1352" t="s">
        <v>97</v>
      </c>
      <c r="B56" s="1353" t="s">
        <v>98</v>
      </c>
      <c r="C56" s="1435">
        <v>277</v>
      </c>
      <c r="D56" s="1435">
        <v>125</v>
      </c>
      <c r="E56" s="1435">
        <v>36</v>
      </c>
      <c r="F56" s="1435">
        <v>12</v>
      </c>
      <c r="G56" s="1436">
        <f t="shared" si="0"/>
        <v>9.6000000000000002E-2</v>
      </c>
      <c r="I56" s="1263">
        <v>36</v>
      </c>
      <c r="J56" s="1263" t="s">
        <v>97</v>
      </c>
    </row>
    <row r="57" spans="1:14">
      <c r="A57" s="1352" t="s">
        <v>99</v>
      </c>
      <c r="B57" s="1353" t="s">
        <v>100</v>
      </c>
      <c r="C57" s="1435">
        <v>236</v>
      </c>
      <c r="D57" s="1435">
        <v>69</v>
      </c>
      <c r="E57" s="1435">
        <v>29</v>
      </c>
      <c r="F57" s="1435">
        <v>10</v>
      </c>
      <c r="G57" s="1436">
        <f t="shared" si="0"/>
        <v>0.14492753623188406</v>
      </c>
      <c r="I57" s="1263">
        <v>29</v>
      </c>
      <c r="J57" s="1263" t="s">
        <v>99</v>
      </c>
    </row>
    <row r="58" spans="1:14">
      <c r="A58" s="1355" t="s">
        <v>142</v>
      </c>
      <c r="B58" s="1353" t="s">
        <v>117</v>
      </c>
      <c r="C58" s="1435">
        <v>88</v>
      </c>
      <c r="D58" s="1435">
        <v>75</v>
      </c>
      <c r="E58" s="1435">
        <v>1</v>
      </c>
      <c r="F58" s="1435"/>
      <c r="G58" s="1436">
        <f t="shared" si="0"/>
        <v>0</v>
      </c>
      <c r="I58" s="1263">
        <v>1</v>
      </c>
      <c r="J58" s="1263" t="s">
        <v>142</v>
      </c>
    </row>
    <row r="59" spans="1:14">
      <c r="A59" s="1352" t="s">
        <v>101</v>
      </c>
      <c r="B59" s="1353" t="s">
        <v>102</v>
      </c>
      <c r="C59" s="1435">
        <v>24</v>
      </c>
      <c r="D59" s="1435">
        <v>17</v>
      </c>
      <c r="E59" s="1435">
        <v>1</v>
      </c>
      <c r="F59" s="1435"/>
      <c r="G59" s="1436">
        <f t="shared" si="0"/>
        <v>0</v>
      </c>
      <c r="I59" s="1263">
        <v>1</v>
      </c>
      <c r="J59" s="1263" t="s">
        <v>101</v>
      </c>
    </row>
    <row r="60" spans="1:14">
      <c r="A60" s="1352" t="s">
        <v>103</v>
      </c>
      <c r="B60" s="1353" t="s">
        <v>104</v>
      </c>
      <c r="C60" s="1435">
        <v>139</v>
      </c>
      <c r="D60" s="1435">
        <v>81</v>
      </c>
      <c r="E60" s="1435">
        <v>29</v>
      </c>
      <c r="F60" s="1435">
        <v>13</v>
      </c>
      <c r="G60" s="1436">
        <f t="shared" si="0"/>
        <v>0.16049382716049382</v>
      </c>
      <c r="I60" s="1263">
        <v>29</v>
      </c>
      <c r="J60" s="1263" t="s">
        <v>103</v>
      </c>
    </row>
    <row r="61" spans="1:14">
      <c r="A61" s="1355" t="s">
        <v>578</v>
      </c>
      <c r="B61" s="1353" t="s">
        <v>200</v>
      </c>
      <c r="C61" s="1435">
        <v>13</v>
      </c>
      <c r="D61" s="1435">
        <v>5</v>
      </c>
      <c r="E61" s="1435">
        <v>2</v>
      </c>
      <c r="F61" s="1435">
        <v>1</v>
      </c>
      <c r="G61" s="1436">
        <f>F61/D61</f>
        <v>0.2</v>
      </c>
      <c r="I61" s="1263">
        <v>2</v>
      </c>
      <c r="J61" s="1263" t="s">
        <v>578</v>
      </c>
    </row>
    <row r="62" spans="1:14">
      <c r="A62" s="1355" t="s">
        <v>202</v>
      </c>
      <c r="B62" s="1353" t="s">
        <v>201</v>
      </c>
      <c r="C62" s="1435">
        <v>4</v>
      </c>
      <c r="D62" s="1435">
        <v>4</v>
      </c>
      <c r="E62" s="1435"/>
      <c r="F62" s="1435"/>
      <c r="G62" s="1436">
        <f t="shared" si="0"/>
        <v>0</v>
      </c>
    </row>
    <row r="63" spans="1:14">
      <c r="A63" s="1356" t="s">
        <v>517</v>
      </c>
      <c r="B63" s="1357" t="s">
        <v>518</v>
      </c>
      <c r="C63" s="1435">
        <v>103</v>
      </c>
      <c r="D63" s="1435">
        <v>78</v>
      </c>
      <c r="E63" s="1435">
        <v>9</v>
      </c>
      <c r="F63" s="1435">
        <v>4</v>
      </c>
      <c r="G63" s="1436">
        <f t="shared" si="0"/>
        <v>5.128205128205128E-2</v>
      </c>
      <c r="I63" s="1263">
        <v>9</v>
      </c>
      <c r="J63" s="1263" t="s">
        <v>517</v>
      </c>
    </row>
    <row r="64" spans="1:14">
      <c r="A64" s="1356" t="s">
        <v>519</v>
      </c>
      <c r="B64" s="1357" t="s">
        <v>520</v>
      </c>
      <c r="C64" s="1435">
        <v>119</v>
      </c>
      <c r="D64" s="1435">
        <v>104</v>
      </c>
      <c r="E64" s="1435">
        <v>20</v>
      </c>
      <c r="F64" s="1435">
        <v>8</v>
      </c>
      <c r="G64" s="1437">
        <f t="shared" si="0"/>
        <v>7.6923076923076927E-2</v>
      </c>
      <c r="I64" s="1263">
        <v>20</v>
      </c>
      <c r="J64" s="1263" t="s">
        <v>519</v>
      </c>
    </row>
    <row r="65" spans="1:10" ht="13.8" thickBot="1">
      <c r="A65" s="1406" t="s">
        <v>521</v>
      </c>
      <c r="B65" s="1407" t="s">
        <v>522</v>
      </c>
      <c r="C65" s="1438">
        <v>179</v>
      </c>
      <c r="D65" s="1438">
        <v>138</v>
      </c>
      <c r="E65" s="1438">
        <v>8</v>
      </c>
      <c r="F65" s="1438">
        <v>2</v>
      </c>
      <c r="G65" s="1439">
        <f t="shared" si="0"/>
        <v>1.4492753623188406E-2</v>
      </c>
      <c r="I65" s="1263">
        <v>8</v>
      </c>
      <c r="J65" s="1263" t="s">
        <v>521</v>
      </c>
    </row>
    <row r="66" spans="1:10" ht="13.8" thickBot="1">
      <c r="A66" s="1360"/>
      <c r="B66" s="1361"/>
      <c r="C66" s="1440"/>
      <c r="D66" s="1441"/>
      <c r="E66" s="1441"/>
      <c r="F66" s="1441"/>
      <c r="G66" s="1442"/>
      <c r="H66" s="1550"/>
    </row>
    <row r="67" spans="1:10" ht="14.4" thickBot="1">
      <c r="A67" s="1365"/>
      <c r="B67" s="1443" t="s">
        <v>105</v>
      </c>
      <c r="C67" s="1444">
        <f>SUM(C9:C66)</f>
        <v>13242</v>
      </c>
      <c r="D67" s="1445">
        <f>SUM(D9:D66)</f>
        <v>9157</v>
      </c>
      <c r="E67" s="1444">
        <f>SUM(E9:E66)</f>
        <v>1129</v>
      </c>
      <c r="F67" s="1444">
        <f>SUM(F9:F66)</f>
        <v>495</v>
      </c>
      <c r="G67" s="1446">
        <f>F67/D67</f>
        <v>5.4057005569509667E-2</v>
      </c>
    </row>
    <row r="68" spans="1:10" ht="13.8">
      <c r="A68" s="1396" t="s">
        <v>936</v>
      </c>
      <c r="B68" s="1447"/>
      <c r="C68" s="1448"/>
      <c r="D68" s="1448"/>
      <c r="E68" s="1448"/>
      <c r="F68" s="1448"/>
      <c r="G68" s="1449"/>
    </row>
    <row r="69" spans="1:10" ht="13.8">
      <c r="A69" s="1427" t="s">
        <v>123</v>
      </c>
      <c r="B69" s="1371"/>
      <c r="C69" s="1450"/>
      <c r="D69" s="1450"/>
      <c r="E69" s="1450"/>
      <c r="F69" s="1450"/>
      <c r="G69" s="1450"/>
    </row>
  </sheetData>
  <mergeCells count="4">
    <mergeCell ref="A2:G2"/>
    <mergeCell ref="A4:G4"/>
    <mergeCell ref="A5:G5"/>
    <mergeCell ref="E7:G7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73" orientation="portrait" r:id="rId1"/>
  <headerFooter alignWithMargins="0">
    <oddHeader>&amp;LDGRH A1-1</oddHeader>
    <oddFooter>&amp;CPage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Feuil4">
    <tabColor rgb="FFFFFF66"/>
  </sheetPr>
  <dimension ref="A1:BM42"/>
  <sheetViews>
    <sheetView showZeros="0" zoomScale="75" workbookViewId="0">
      <selection activeCell="L18" sqref="L18"/>
    </sheetView>
  </sheetViews>
  <sheetFormatPr baseColWidth="10" defaultColWidth="11.44140625" defaultRowHeight="13.2"/>
  <cols>
    <col min="1" max="1" width="70.6640625" style="508" customWidth="1"/>
    <col min="2" max="2" width="20.6640625" style="94" customWidth="1"/>
    <col min="3" max="3" width="19.44140625" style="94" bestFit="1" customWidth="1"/>
    <col min="4" max="6" width="14.109375" style="94" customWidth="1"/>
    <col min="7" max="7" width="14.109375" style="98" customWidth="1"/>
    <col min="8" max="8" width="14.109375" style="96" customWidth="1"/>
    <col min="9" max="9" width="6.33203125" style="508" customWidth="1"/>
    <col min="10" max="14" width="11.44140625" style="508"/>
    <col min="15" max="15" width="15" style="508" customWidth="1"/>
    <col min="16" max="16384" width="11.44140625" style="508"/>
  </cols>
  <sheetData>
    <row r="1" spans="1:65" s="491" customFormat="1" ht="24" customHeight="1">
      <c r="A1" s="519" t="str">
        <f>'fiche technique'!A16</f>
        <v xml:space="preserve">Bilan de la campagne 2014 de recrutement et d'affectation des maîtres de conférences et des professeurs des universités </v>
      </c>
      <c r="B1" s="517"/>
      <c r="C1" s="517"/>
      <c r="D1" s="517"/>
      <c r="E1" s="517"/>
      <c r="F1" s="517"/>
      <c r="G1" s="517"/>
      <c r="H1" s="517"/>
      <c r="I1" s="518"/>
    </row>
    <row r="2" spans="1:65" s="491" customFormat="1" ht="15" customHeight="1">
      <c r="A2" s="128"/>
      <c r="B2" s="128"/>
      <c r="C2" s="128"/>
      <c r="D2" s="128"/>
      <c r="E2" s="128"/>
      <c r="F2" s="128"/>
      <c r="G2" s="128"/>
      <c r="H2" s="128"/>
    </row>
    <row r="3" spans="1:65" s="491" customFormat="1" ht="18.75" customHeight="1">
      <c r="A3" s="2004" t="s">
        <v>536</v>
      </c>
      <c r="B3" s="2004"/>
      <c r="C3" s="2004"/>
      <c r="D3" s="2004"/>
      <c r="E3" s="2004"/>
      <c r="F3" s="2004"/>
      <c r="G3" s="2004"/>
      <c r="H3" s="2004"/>
    </row>
    <row r="4" spans="1:65" s="76" customFormat="1" ht="18.75" customHeight="1">
      <c r="A4" s="2028" t="s">
        <v>934</v>
      </c>
      <c r="B4" s="2028"/>
      <c r="C4" s="2028"/>
      <c r="D4" s="2028"/>
      <c r="E4" s="2028"/>
      <c r="F4" s="2028"/>
      <c r="G4" s="2028"/>
      <c r="H4" s="2028"/>
    </row>
    <row r="5" spans="1:65" s="492" customFormat="1" ht="15" customHeight="1">
      <c r="A5" s="78"/>
      <c r="B5" s="79"/>
      <c r="C5" s="79"/>
      <c r="D5" s="79"/>
      <c r="E5" s="79"/>
      <c r="F5" s="79"/>
      <c r="G5" s="79"/>
      <c r="H5" s="80"/>
    </row>
    <row r="6" spans="1:65" s="81" customFormat="1" ht="15" customHeight="1" thickBot="1">
      <c r="A6" s="493"/>
      <c r="B6" s="82"/>
      <c r="C6" s="83"/>
      <c r="D6" s="83"/>
      <c r="E6" s="83"/>
      <c r="F6" s="83"/>
      <c r="H6" s="84"/>
    </row>
    <row r="7" spans="1:65" s="491" customFormat="1" ht="66" customHeight="1">
      <c r="B7" s="2007" t="s">
        <v>1</v>
      </c>
      <c r="C7" s="2029" t="s">
        <v>2</v>
      </c>
      <c r="D7" s="2009" t="s">
        <v>3</v>
      </c>
      <c r="E7" s="2011" t="s">
        <v>329</v>
      </c>
      <c r="F7" s="2007" t="s">
        <v>935</v>
      </c>
      <c r="G7" s="2013" t="s">
        <v>157</v>
      </c>
      <c r="H7" s="2014"/>
    </row>
    <row r="8" spans="1:65" s="89" customFormat="1" ht="84" customHeight="1" thickBot="1">
      <c r="A8" s="114"/>
      <c r="B8" s="2008"/>
      <c r="C8" s="2030"/>
      <c r="D8" s="2010"/>
      <c r="E8" s="2012"/>
      <c r="F8" s="2008"/>
      <c r="G8" s="284" t="s">
        <v>159</v>
      </c>
      <c r="H8" s="126" t="s">
        <v>583</v>
      </c>
    </row>
    <row r="9" spans="1:65" s="85" customFormat="1" ht="24" customHeight="1">
      <c r="A9" s="1541" t="s">
        <v>143</v>
      </c>
      <c r="B9" s="495"/>
      <c r="C9" s="115"/>
      <c r="D9" s="115"/>
      <c r="E9" s="286"/>
      <c r="F9" s="287"/>
      <c r="G9" s="285"/>
      <c r="H9" s="127"/>
    </row>
    <row r="10" spans="1:65" s="85" customFormat="1" ht="24" customHeight="1">
      <c r="A10" s="116" t="s">
        <v>133</v>
      </c>
      <c r="B10" s="289">
        <v>153</v>
      </c>
      <c r="C10" s="159">
        <v>9</v>
      </c>
      <c r="D10" s="159">
        <v>0</v>
      </c>
      <c r="E10" s="289">
        <v>128</v>
      </c>
      <c r="F10" s="290">
        <f>B10-G10</f>
        <v>16</v>
      </c>
      <c r="G10" s="288">
        <f>C10+D10+E10</f>
        <v>137</v>
      </c>
      <c r="H10" s="496">
        <f>G10/(B10)</f>
        <v>0.89542483660130723</v>
      </c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</row>
    <row r="11" spans="1:65" s="85" customFormat="1" ht="24" customHeight="1">
      <c r="A11" s="123" t="s">
        <v>134</v>
      </c>
      <c r="B11" s="292">
        <v>0</v>
      </c>
      <c r="C11" s="291"/>
      <c r="D11" s="291"/>
      <c r="E11" s="292"/>
      <c r="F11" s="290">
        <f>B11-G11</f>
        <v>0</v>
      </c>
      <c r="G11" s="294">
        <f>C11+D11+E11</f>
        <v>0</v>
      </c>
      <c r="H11" s="496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89"/>
      <c r="BM11" s="89"/>
    </row>
    <row r="12" spans="1:65" s="91" customFormat="1" ht="24" customHeight="1">
      <c r="A12" s="119" t="s">
        <v>161</v>
      </c>
      <c r="B12" s="296">
        <f t="shared" ref="B12:G12" si="0">SUM(B10:B11)</f>
        <v>153</v>
      </c>
      <c r="C12" s="498">
        <f t="shared" si="0"/>
        <v>9</v>
      </c>
      <c r="D12" s="162">
        <f t="shared" si="0"/>
        <v>0</v>
      </c>
      <c r="E12" s="296">
        <f t="shared" si="0"/>
        <v>128</v>
      </c>
      <c r="F12" s="297">
        <f t="shared" ref="F12:F22" si="1">B12-G12</f>
        <v>16</v>
      </c>
      <c r="G12" s="295">
        <f t="shared" si="0"/>
        <v>137</v>
      </c>
      <c r="H12" s="499">
        <f>G12/(B12)</f>
        <v>0.89542483660130723</v>
      </c>
      <c r="P12" s="89"/>
      <c r="Q12" s="89"/>
      <c r="R12" s="89"/>
      <c r="S12" s="89"/>
      <c r="T12" s="89"/>
      <c r="U12" s="89"/>
    </row>
    <row r="13" spans="1:65" s="85" customFormat="1" ht="24" customHeight="1">
      <c r="A13" s="120" t="s">
        <v>162</v>
      </c>
      <c r="B13" s="299"/>
      <c r="C13" s="163"/>
      <c r="D13" s="163"/>
      <c r="E13" s="299"/>
      <c r="F13" s="300">
        <f t="shared" si="1"/>
        <v>0</v>
      </c>
      <c r="G13" s="298"/>
      <c r="H13" s="500"/>
      <c r="I13" s="89"/>
      <c r="J13" s="89"/>
      <c r="K13" s="89"/>
      <c r="L13" s="89"/>
      <c r="M13" s="89"/>
      <c r="N13" s="89"/>
      <c r="O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89"/>
      <c r="BM13" s="89"/>
    </row>
    <row r="14" spans="1:65" s="85" customFormat="1" ht="24" customHeight="1">
      <c r="A14" s="116" t="s">
        <v>978</v>
      </c>
      <c r="B14" s="289">
        <v>61</v>
      </c>
      <c r="C14" s="159">
        <v>7</v>
      </c>
      <c r="D14" s="159">
        <v>0</v>
      </c>
      <c r="E14" s="289">
        <v>41</v>
      </c>
      <c r="F14" s="290">
        <f t="shared" si="1"/>
        <v>13</v>
      </c>
      <c r="G14" s="288">
        <f>C14+D14+E14</f>
        <v>48</v>
      </c>
      <c r="H14" s="496">
        <f>G14/(B14)</f>
        <v>0.78688524590163933</v>
      </c>
      <c r="P14" s="89"/>
      <c r="Q14" s="89"/>
      <c r="R14" s="89"/>
      <c r="S14" s="89"/>
      <c r="T14" s="89"/>
      <c r="U14" s="89"/>
    </row>
    <row r="15" spans="1:65" s="85" customFormat="1" ht="24" customHeight="1">
      <c r="A15" s="117" t="s">
        <v>979</v>
      </c>
      <c r="B15" s="289">
        <v>3</v>
      </c>
      <c r="C15" s="160"/>
      <c r="D15" s="160"/>
      <c r="E15" s="301">
        <v>3</v>
      </c>
      <c r="F15" s="290">
        <f t="shared" si="1"/>
        <v>0</v>
      </c>
      <c r="G15" s="288">
        <v>3</v>
      </c>
      <c r="H15" s="496">
        <f>G15/(B15)</f>
        <v>1</v>
      </c>
      <c r="I15" s="90"/>
      <c r="P15" s="89"/>
      <c r="Q15" s="89"/>
      <c r="R15" s="89"/>
      <c r="S15" s="89"/>
      <c r="T15" s="89"/>
      <c r="U15" s="89"/>
    </row>
    <row r="16" spans="1:65" s="85" customFormat="1" ht="24" customHeight="1">
      <c r="A16" s="118" t="s">
        <v>980</v>
      </c>
      <c r="B16" s="299">
        <v>2</v>
      </c>
      <c r="C16" s="161"/>
      <c r="D16" s="161"/>
      <c r="E16" s="299">
        <v>2</v>
      </c>
      <c r="F16" s="290">
        <f t="shared" si="1"/>
        <v>0</v>
      </c>
      <c r="G16" s="288">
        <f>C16+D16+E16</f>
        <v>2</v>
      </c>
      <c r="H16" s="496">
        <f>G16/(B16)</f>
        <v>1</v>
      </c>
      <c r="P16" s="91"/>
      <c r="Q16" s="91"/>
      <c r="R16" s="91"/>
      <c r="S16" s="91"/>
      <c r="T16" s="91"/>
      <c r="U16" s="91"/>
    </row>
    <row r="17" spans="1:65" s="85" customFormat="1" ht="24" customHeight="1">
      <c r="A17" s="121" t="s">
        <v>111</v>
      </c>
      <c r="B17" s="292">
        <f>SUM(B14:B16)</f>
        <v>66</v>
      </c>
      <c r="C17" s="497">
        <f>SUM(C14:C16)</f>
        <v>7</v>
      </c>
      <c r="D17" s="164">
        <f>D14</f>
        <v>0</v>
      </c>
      <c r="E17" s="292">
        <f>SUM(E14:E16)</f>
        <v>46</v>
      </c>
      <c r="F17" s="293">
        <f t="shared" si="1"/>
        <v>13</v>
      </c>
      <c r="G17" s="294">
        <f>SUM(G14:G16)</f>
        <v>53</v>
      </c>
      <c r="H17" s="496">
        <f>G17/(B17)</f>
        <v>0.80303030303030298</v>
      </c>
      <c r="O17" s="1211"/>
      <c r="P17" s="89"/>
      <c r="Q17" s="89"/>
      <c r="R17" s="89"/>
      <c r="S17" s="89"/>
      <c r="T17" s="89"/>
      <c r="U17" s="89"/>
    </row>
    <row r="18" spans="1:65" s="85" customFormat="1" ht="24" customHeight="1">
      <c r="A18" s="122" t="s">
        <v>533</v>
      </c>
      <c r="B18" s="304"/>
      <c r="C18" s="165"/>
      <c r="D18" s="165"/>
      <c r="E18" s="304"/>
      <c r="F18" s="305">
        <f t="shared" si="1"/>
        <v>0</v>
      </c>
      <c r="G18" s="303"/>
      <c r="H18" s="502"/>
      <c r="O18" s="1211"/>
    </row>
    <row r="19" spans="1:65" s="85" customFormat="1" ht="24" customHeight="1">
      <c r="A19" s="117" t="s">
        <v>160</v>
      </c>
      <c r="B19" s="301">
        <v>19</v>
      </c>
      <c r="C19" s="503">
        <v>11</v>
      </c>
      <c r="D19" s="503">
        <v>2</v>
      </c>
      <c r="E19" s="504"/>
      <c r="F19" s="302">
        <f>B19-G19</f>
        <v>6</v>
      </c>
      <c r="G19" s="311">
        <f>C19+D19+E19</f>
        <v>13</v>
      </c>
      <c r="H19" s="496">
        <f>G19/(B19)</f>
        <v>0.68421052631578949</v>
      </c>
      <c r="O19" s="1211"/>
    </row>
    <row r="20" spans="1:65" s="85" customFormat="1" ht="24" customHeight="1">
      <c r="A20" s="121" t="s">
        <v>112</v>
      </c>
      <c r="B20" s="310">
        <f>SUM(B19:B19)</f>
        <v>19</v>
      </c>
      <c r="C20" s="307">
        <f>C19</f>
        <v>11</v>
      </c>
      <c r="D20" s="166">
        <v>2</v>
      </c>
      <c r="E20" s="308"/>
      <c r="F20" s="309">
        <f t="shared" si="1"/>
        <v>6</v>
      </c>
      <c r="G20" s="306">
        <f>SUM(G19:G19)</f>
        <v>13</v>
      </c>
      <c r="H20" s="496">
        <f>G20/(B20)</f>
        <v>0.68421052631578949</v>
      </c>
      <c r="N20"/>
    </row>
    <row r="21" spans="1:65" s="85" customFormat="1" ht="24" customHeight="1">
      <c r="A21" s="124" t="s">
        <v>163</v>
      </c>
      <c r="B21" s="313">
        <f t="shared" ref="B21:G21" si="2">B17+B20</f>
        <v>85</v>
      </c>
      <c r="C21" s="505">
        <f t="shared" si="2"/>
        <v>18</v>
      </c>
      <c r="D21" s="167">
        <f t="shared" si="2"/>
        <v>2</v>
      </c>
      <c r="E21" s="313">
        <f t="shared" si="2"/>
        <v>46</v>
      </c>
      <c r="F21" s="314">
        <f t="shared" si="1"/>
        <v>19</v>
      </c>
      <c r="G21" s="312">
        <f t="shared" si="2"/>
        <v>66</v>
      </c>
      <c r="H21" s="499">
        <f>G21/(B21)</f>
        <v>0.77647058823529413</v>
      </c>
      <c r="N21" s="1209"/>
    </row>
    <row r="22" spans="1:65" s="93" customFormat="1" ht="24" customHeight="1" thickBot="1">
      <c r="A22" s="125" t="s">
        <v>113</v>
      </c>
      <c r="B22" s="316">
        <f t="shared" ref="B22:G22" si="3">B12+B21</f>
        <v>238</v>
      </c>
      <c r="C22" s="506">
        <f t="shared" si="3"/>
        <v>27</v>
      </c>
      <c r="D22" s="168">
        <f t="shared" si="3"/>
        <v>2</v>
      </c>
      <c r="E22" s="316">
        <f t="shared" si="3"/>
        <v>174</v>
      </c>
      <c r="F22" s="317">
        <f t="shared" si="1"/>
        <v>35</v>
      </c>
      <c r="G22" s="315">
        <f t="shared" si="3"/>
        <v>203</v>
      </c>
      <c r="H22" s="507">
        <f>G22/(B22)</f>
        <v>0.8529411764705882</v>
      </c>
      <c r="N22" s="1209"/>
      <c r="O22" s="85"/>
      <c r="P22" s="85"/>
      <c r="Q22" s="85"/>
      <c r="R22" s="85"/>
      <c r="S22" s="85"/>
      <c r="T22" s="85"/>
      <c r="U22" s="85"/>
    </row>
    <row r="23" spans="1:65" s="91" customFormat="1" ht="15.75" customHeight="1">
      <c r="A23" s="516" t="str">
        <f>'fiche technique'!A9</f>
        <v>Source: GALAXIE (ANTARES-ANTEE &amp; FIDIS), DGRH A1-1 &amp; DGRH A2, juin 2014</v>
      </c>
      <c r="B23" s="94"/>
      <c r="C23" s="95"/>
      <c r="D23" s="95"/>
      <c r="E23" s="95"/>
      <c r="F23" s="95"/>
      <c r="G23" s="95"/>
      <c r="H23" s="95"/>
      <c r="N23" s="1209"/>
      <c r="O23" s="85"/>
      <c r="P23" s="85"/>
      <c r="Q23" s="85"/>
      <c r="R23" s="85"/>
      <c r="S23" s="85"/>
      <c r="T23" s="85"/>
      <c r="U23" s="85"/>
    </row>
    <row r="24" spans="1:65" s="81" customFormat="1" ht="17.399999999999999">
      <c r="A24" s="82" t="s">
        <v>717</v>
      </c>
      <c r="B24" s="83"/>
      <c r="C24" s="83"/>
      <c r="D24" s="83"/>
      <c r="E24" s="83"/>
      <c r="F24" s="83"/>
      <c r="G24" s="97"/>
      <c r="H24" s="84"/>
      <c r="N24" s="1209"/>
      <c r="O24" s="85"/>
      <c r="P24" s="85"/>
      <c r="Q24" s="85"/>
      <c r="R24" s="85"/>
      <c r="S24" s="85"/>
      <c r="T24" s="85"/>
      <c r="U24" s="85"/>
    </row>
    <row r="25" spans="1:65" s="81" customFormat="1" ht="15.6">
      <c r="B25" s="83"/>
      <c r="C25" s="83"/>
      <c r="D25" s="83"/>
      <c r="E25" s="83"/>
      <c r="F25" s="83"/>
      <c r="G25" s="97"/>
      <c r="H25" s="84"/>
      <c r="N25" s="1209"/>
      <c r="O25" s="1009"/>
      <c r="P25" s="1009"/>
      <c r="Q25" s="1009"/>
      <c r="R25" s="1009"/>
      <c r="S25" s="1009"/>
      <c r="T25" s="1009"/>
      <c r="U25"/>
    </row>
    <row r="26" spans="1:65" ht="15.6">
      <c r="A26" s="81"/>
      <c r="N26" s="1209"/>
      <c r="O26" s="1009"/>
      <c r="P26" s="1009"/>
      <c r="Q26" s="1009"/>
      <c r="R26" s="1009"/>
      <c r="S26" s="1009"/>
      <c r="T26" s="1009"/>
      <c r="U26"/>
    </row>
    <row r="27" spans="1:65">
      <c r="N27" s="1209"/>
      <c r="O27" s="1009"/>
      <c r="P27" s="1009"/>
      <c r="Q27" s="1009"/>
      <c r="R27" s="1009"/>
      <c r="S27" s="1009"/>
      <c r="T27" s="1009"/>
      <c r="U27"/>
    </row>
    <row r="28" spans="1:65" s="98" customFormat="1">
      <c r="A28" s="508"/>
      <c r="B28" s="94"/>
      <c r="C28" s="94"/>
      <c r="D28" s="94"/>
      <c r="E28" s="94"/>
      <c r="F28" s="94"/>
      <c r="H28" s="96"/>
      <c r="I28" s="508"/>
      <c r="J28" s="508"/>
      <c r="K28" s="508"/>
      <c r="L28" s="508"/>
      <c r="M28" s="508"/>
      <c r="N28" s="1209"/>
      <c r="O28" s="1009"/>
      <c r="P28" s="1009"/>
      <c r="Q28" s="1009"/>
      <c r="R28" s="1009"/>
      <c r="S28" s="1009"/>
      <c r="T28" s="1009"/>
      <c r="U28"/>
      <c r="V28" s="508"/>
      <c r="W28" s="508"/>
      <c r="X28" s="508"/>
      <c r="Y28" s="508"/>
      <c r="Z28" s="508"/>
      <c r="AA28" s="508"/>
      <c r="AB28" s="508"/>
      <c r="AC28" s="508"/>
      <c r="AD28" s="508"/>
      <c r="AE28" s="508"/>
      <c r="AF28" s="508"/>
      <c r="AG28" s="508"/>
      <c r="AH28" s="508"/>
      <c r="AI28" s="508"/>
      <c r="AJ28" s="508"/>
      <c r="AK28" s="508"/>
      <c r="AL28" s="508"/>
      <c r="AM28" s="508"/>
      <c r="AN28" s="508"/>
      <c r="AO28" s="508"/>
      <c r="AP28" s="508"/>
      <c r="AQ28" s="508"/>
      <c r="AR28" s="508"/>
      <c r="AS28" s="508"/>
      <c r="AT28" s="508"/>
      <c r="AU28" s="508"/>
      <c r="AV28" s="508"/>
      <c r="AW28" s="508"/>
      <c r="AX28" s="508"/>
      <c r="AY28" s="508"/>
      <c r="AZ28" s="508"/>
      <c r="BA28" s="508"/>
      <c r="BB28" s="508"/>
      <c r="BC28" s="508"/>
      <c r="BD28" s="508"/>
      <c r="BE28" s="508"/>
      <c r="BF28" s="508"/>
      <c r="BG28" s="508"/>
      <c r="BH28" s="508"/>
      <c r="BI28" s="508"/>
      <c r="BJ28" s="508"/>
      <c r="BK28" s="508"/>
      <c r="BL28" s="508"/>
      <c r="BM28" s="508"/>
    </row>
    <row r="29" spans="1:65" s="98" customFormat="1">
      <c r="A29" s="1927"/>
      <c r="B29" s="94"/>
      <c r="C29" s="94"/>
      <c r="D29" s="94"/>
      <c r="E29" s="1927"/>
      <c r="F29" s="1927"/>
      <c r="H29" s="96"/>
      <c r="I29" s="508"/>
      <c r="J29" s="508"/>
      <c r="K29" s="508"/>
      <c r="L29" s="508"/>
      <c r="M29" s="508"/>
      <c r="N29" s="1209"/>
      <c r="O29" s="1009"/>
      <c r="P29" s="1009"/>
      <c r="Q29" s="1009"/>
      <c r="R29" s="1009"/>
      <c r="S29" s="1009"/>
      <c r="T29" s="1009"/>
      <c r="U29"/>
      <c r="V29" s="508"/>
      <c r="W29" s="508"/>
      <c r="X29" s="508"/>
      <c r="Y29" s="508"/>
      <c r="Z29" s="508"/>
      <c r="AA29" s="508"/>
      <c r="AB29" s="508"/>
      <c r="AC29" s="508"/>
      <c r="AD29" s="508"/>
      <c r="AE29" s="508"/>
      <c r="AF29" s="508"/>
      <c r="AG29" s="508"/>
      <c r="AH29" s="508"/>
      <c r="AI29" s="508"/>
      <c r="AJ29" s="508"/>
      <c r="AK29" s="508"/>
      <c r="AL29" s="508"/>
      <c r="AM29" s="508"/>
      <c r="AN29" s="508"/>
      <c r="AO29" s="508"/>
      <c r="AP29" s="508"/>
      <c r="AQ29" s="508"/>
      <c r="AR29" s="508"/>
      <c r="AS29" s="508"/>
      <c r="AT29" s="508"/>
      <c r="AU29" s="508"/>
      <c r="AV29" s="508"/>
      <c r="AW29" s="508"/>
      <c r="AX29" s="508"/>
      <c r="AY29" s="508"/>
      <c r="AZ29" s="508"/>
      <c r="BA29" s="508"/>
      <c r="BB29" s="508"/>
      <c r="BC29" s="508"/>
      <c r="BD29" s="508"/>
      <c r="BE29" s="508"/>
      <c r="BF29" s="508"/>
      <c r="BG29" s="508"/>
      <c r="BH29" s="508"/>
      <c r="BI29" s="508"/>
      <c r="BJ29" s="508"/>
      <c r="BK29" s="508"/>
      <c r="BL29" s="508"/>
      <c r="BM29" s="508"/>
    </row>
    <row r="30" spans="1:65" s="98" customFormat="1">
      <c r="A30" s="508"/>
      <c r="B30" s="94"/>
      <c r="C30" s="94"/>
      <c r="D30" s="94"/>
      <c r="E30" s="94"/>
      <c r="F30" s="94"/>
      <c r="H30" s="96"/>
      <c r="I30" s="508"/>
      <c r="J30" s="508"/>
      <c r="K30" s="508"/>
      <c r="L30" s="508"/>
      <c r="M30" s="508"/>
      <c r="N30"/>
      <c r="O30"/>
      <c r="P30"/>
      <c r="Q30"/>
      <c r="R30"/>
      <c r="S30"/>
      <c r="T30"/>
      <c r="U30"/>
      <c r="V30" s="508"/>
      <c r="W30" s="508"/>
      <c r="X30" s="508"/>
      <c r="Y30" s="508"/>
      <c r="Z30" s="508"/>
      <c r="AA30" s="508"/>
      <c r="AB30" s="508"/>
      <c r="AC30" s="508"/>
      <c r="AD30" s="508"/>
      <c r="AE30" s="508"/>
      <c r="AF30" s="508"/>
      <c r="AG30" s="508"/>
      <c r="AH30" s="508"/>
      <c r="AI30" s="508"/>
      <c r="AJ30" s="508"/>
      <c r="AK30" s="508"/>
      <c r="AL30" s="508"/>
      <c r="AM30" s="508"/>
      <c r="AN30" s="508"/>
      <c r="AO30" s="508"/>
      <c r="AP30" s="508"/>
      <c r="AQ30" s="508"/>
      <c r="AR30" s="508"/>
      <c r="AS30" s="508"/>
      <c r="AT30" s="508"/>
      <c r="AU30" s="508"/>
      <c r="AV30" s="508"/>
      <c r="AW30" s="508"/>
      <c r="AX30" s="508"/>
      <c r="AY30" s="508"/>
      <c r="AZ30" s="508"/>
      <c r="BA30" s="508"/>
      <c r="BB30" s="508"/>
      <c r="BC30" s="508"/>
      <c r="BD30" s="508"/>
      <c r="BE30" s="508"/>
      <c r="BF30" s="508"/>
      <c r="BG30" s="508"/>
      <c r="BH30" s="508"/>
      <c r="BI30" s="508"/>
      <c r="BJ30" s="508"/>
      <c r="BK30" s="508"/>
      <c r="BL30" s="508"/>
      <c r="BM30" s="508"/>
    </row>
    <row r="31" spans="1:65" s="98" customFormat="1">
      <c r="A31" s="508"/>
      <c r="B31" s="94"/>
      <c r="C31" s="94"/>
      <c r="D31" s="94"/>
      <c r="E31" s="94"/>
      <c r="F31" s="94"/>
      <c r="H31" s="96"/>
      <c r="I31" s="508"/>
      <c r="J31" s="94"/>
      <c r="K31" s="94"/>
      <c r="L31" s="94"/>
      <c r="M31" s="94"/>
      <c r="N31" s="94"/>
      <c r="O31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08"/>
      <c r="AE31" s="508"/>
      <c r="AF31" s="508"/>
      <c r="AG31" s="508"/>
      <c r="AH31" s="508"/>
      <c r="AI31" s="508"/>
      <c r="AJ31" s="508"/>
      <c r="AK31" s="508"/>
      <c r="AL31" s="508"/>
      <c r="AM31" s="508"/>
      <c r="AN31" s="508"/>
      <c r="AO31" s="508"/>
      <c r="AP31" s="508"/>
      <c r="AQ31" s="508"/>
      <c r="AR31" s="508"/>
      <c r="AS31" s="508"/>
      <c r="AT31" s="508"/>
      <c r="AU31" s="508"/>
      <c r="AV31" s="508"/>
      <c r="AW31" s="508"/>
      <c r="AX31" s="508"/>
      <c r="AY31" s="508"/>
      <c r="AZ31" s="508"/>
      <c r="BA31" s="508"/>
      <c r="BB31" s="508"/>
      <c r="BC31" s="508"/>
      <c r="BD31" s="508"/>
      <c r="BE31" s="508"/>
      <c r="BF31" s="508"/>
      <c r="BG31" s="508"/>
      <c r="BH31" s="508"/>
      <c r="BI31" s="508"/>
      <c r="BJ31" s="508"/>
      <c r="BK31" s="508"/>
      <c r="BL31" s="508"/>
      <c r="BM31" s="508"/>
    </row>
    <row r="32" spans="1:65" s="98" customFormat="1">
      <c r="A32" s="508"/>
      <c r="B32" s="94"/>
      <c r="C32" s="94"/>
      <c r="D32" s="94"/>
      <c r="E32" s="94"/>
      <c r="F32" s="94"/>
      <c r="H32" s="96"/>
      <c r="I32" s="508"/>
      <c r="J32" s="94"/>
      <c r="K32" s="94"/>
      <c r="L32" s="94"/>
      <c r="M32" s="94"/>
      <c r="N32" s="94"/>
      <c r="O32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  <c r="AE32" s="508"/>
      <c r="AF32" s="508"/>
      <c r="AG32" s="508"/>
      <c r="AH32" s="508"/>
      <c r="AI32" s="508"/>
      <c r="AJ32" s="508"/>
      <c r="AK32" s="508"/>
      <c r="AL32" s="508"/>
      <c r="AM32" s="508"/>
      <c r="AN32" s="508"/>
      <c r="AO32" s="508"/>
      <c r="AP32" s="508"/>
      <c r="AQ32" s="508"/>
      <c r="AR32" s="508"/>
      <c r="AS32" s="508"/>
      <c r="AT32" s="508"/>
      <c r="AU32" s="508"/>
      <c r="AV32" s="508"/>
      <c r="AW32" s="508"/>
      <c r="AX32" s="508"/>
      <c r="AY32" s="508"/>
      <c r="AZ32" s="508"/>
      <c r="BA32" s="508"/>
      <c r="BB32" s="508"/>
      <c r="BC32" s="508"/>
      <c r="BD32" s="508"/>
      <c r="BE32" s="508"/>
      <c r="BF32" s="508"/>
      <c r="BG32" s="508"/>
      <c r="BH32" s="508"/>
      <c r="BI32" s="508"/>
      <c r="BJ32" s="508"/>
      <c r="BK32" s="508"/>
      <c r="BL32" s="508"/>
      <c r="BM32" s="508"/>
    </row>
    <row r="33" spans="1:65" s="98" customFormat="1">
      <c r="A33" s="508"/>
      <c r="B33" s="94"/>
      <c r="C33" s="94"/>
      <c r="D33" s="94"/>
      <c r="E33" s="94"/>
      <c r="F33" s="94"/>
      <c r="H33" s="96"/>
      <c r="I33" s="508"/>
      <c r="J33" s="94"/>
      <c r="K33" s="94"/>
      <c r="L33" s="94"/>
      <c r="M33" s="94"/>
      <c r="N33" s="94"/>
      <c r="O33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08"/>
      <c r="AD33" s="508"/>
      <c r="AE33" s="508"/>
      <c r="AF33" s="508"/>
      <c r="AG33" s="508"/>
      <c r="AH33" s="508"/>
      <c r="AI33" s="508"/>
      <c r="AJ33" s="508"/>
      <c r="AK33" s="508"/>
      <c r="AL33" s="508"/>
      <c r="AM33" s="508"/>
      <c r="AN33" s="508"/>
      <c r="AO33" s="508"/>
      <c r="AP33" s="508"/>
      <c r="AQ33" s="508"/>
      <c r="AR33" s="508"/>
      <c r="AS33" s="508"/>
      <c r="AT33" s="508"/>
      <c r="AU33" s="508"/>
      <c r="AV33" s="508"/>
      <c r="AW33" s="508"/>
      <c r="AX33" s="508"/>
      <c r="AY33" s="508"/>
      <c r="AZ33" s="508"/>
      <c r="BA33" s="508"/>
      <c r="BB33" s="508"/>
      <c r="BC33" s="508"/>
      <c r="BD33" s="508"/>
      <c r="BE33" s="508"/>
      <c r="BF33" s="508"/>
      <c r="BG33" s="508"/>
      <c r="BH33" s="508"/>
      <c r="BI33" s="508"/>
      <c r="BJ33" s="508"/>
      <c r="BK33" s="508"/>
      <c r="BL33" s="508"/>
      <c r="BM33" s="508"/>
    </row>
    <row r="34" spans="1:65">
      <c r="J34" s="94"/>
      <c r="K34" s="94"/>
      <c r="L34" s="94"/>
      <c r="M34" s="94"/>
      <c r="N34" s="94"/>
      <c r="O34"/>
    </row>
    <row r="35" spans="1:65">
      <c r="J35" s="94"/>
      <c r="K35" s="94"/>
      <c r="L35" s="94"/>
      <c r="M35" s="94"/>
      <c r="N35" s="94"/>
      <c r="O35"/>
    </row>
    <row r="36" spans="1:65">
      <c r="J36" s="94"/>
      <c r="K36" s="94"/>
      <c r="L36" s="94"/>
      <c r="M36" s="94"/>
      <c r="N36" s="94"/>
      <c r="O36"/>
    </row>
    <row r="37" spans="1:65">
      <c r="J37" s="94"/>
      <c r="K37" s="94"/>
      <c r="L37" s="94"/>
      <c r="M37" s="94"/>
      <c r="N37" s="94"/>
      <c r="O37"/>
    </row>
    <row r="38" spans="1:65">
      <c r="J38" s="94"/>
      <c r="K38" s="94"/>
      <c r="L38" s="94"/>
      <c r="M38" s="94"/>
      <c r="N38" s="94"/>
      <c r="O38"/>
    </row>
    <row r="39" spans="1:65">
      <c r="J39" s="94"/>
      <c r="K39" s="94"/>
      <c r="L39" s="94"/>
      <c r="M39" s="94"/>
      <c r="N39" s="94"/>
      <c r="O39"/>
    </row>
    <row r="40" spans="1:65">
      <c r="J40" s="94"/>
      <c r="K40" s="94"/>
      <c r="L40" s="94"/>
      <c r="M40" s="94"/>
      <c r="N40" s="94"/>
      <c r="O40"/>
    </row>
    <row r="41" spans="1:65">
      <c r="J41" s="94"/>
      <c r="K41" s="94"/>
      <c r="L41" s="94"/>
      <c r="M41" s="94"/>
      <c r="N41" s="94"/>
    </row>
    <row r="42" spans="1:65">
      <c r="J42" s="1174"/>
      <c r="K42" s="1174"/>
      <c r="L42" s="1174"/>
      <c r="M42" s="1174"/>
      <c r="N42" s="1174"/>
    </row>
  </sheetData>
  <mergeCells count="8">
    <mergeCell ref="A3:H3"/>
    <mergeCell ref="A4:H4"/>
    <mergeCell ref="B7:B8"/>
    <mergeCell ref="C7:C8"/>
    <mergeCell ref="D7:D8"/>
    <mergeCell ref="E7:E8"/>
    <mergeCell ref="F7:F8"/>
    <mergeCell ref="G7:H7"/>
  </mergeCells>
  <dataValidations disablePrompts="1" count="1">
    <dataValidation type="list" showInputMessage="1" showErrorMessage="1" sqref="J12:J14">
      <formula1>$J$12:$J$13</formula1>
    </dataValidation>
  </dataValidations>
  <printOptions horizontalCentered="1"/>
  <pageMargins left="0.39370078740157483" right="0.39370078740157483" top="0.59055118110236227" bottom="0.59055118110236227" header="0.31496062992125984" footer="0.31496062992125984"/>
  <pageSetup paperSize="9" scale="70" orientation="landscape" r:id="rId1"/>
  <headerFooter alignWithMargins="0">
    <oddHeader>&amp;LDGRH A1-1</oddHeader>
    <oddFooter>&amp;CPage &amp;P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99"/>
  </sheetPr>
  <dimension ref="A2:P70"/>
  <sheetViews>
    <sheetView topLeftCell="A33" workbookViewId="0">
      <selection activeCell="L18" sqref="L18"/>
    </sheetView>
  </sheetViews>
  <sheetFormatPr baseColWidth="10" defaultRowHeight="13.2"/>
  <cols>
    <col min="2" max="2" width="43.5546875" customWidth="1"/>
    <col min="3" max="9" width="11.5546875" customWidth="1"/>
  </cols>
  <sheetData>
    <row r="2" spans="1:16" ht="15.6">
      <c r="A2" s="1768" t="s">
        <v>713</v>
      </c>
      <c r="B2" s="1768"/>
      <c r="C2" s="1768"/>
      <c r="D2" s="1768"/>
      <c r="E2" s="1769"/>
      <c r="F2" s="1976"/>
      <c r="G2" s="1976"/>
      <c r="H2" s="1976"/>
    </row>
    <row r="4" spans="1:16" ht="17.399999999999999">
      <c r="A4" s="2130" t="s">
        <v>946</v>
      </c>
      <c r="B4" s="2130"/>
      <c r="C4" s="2130"/>
      <c r="D4" s="2130"/>
      <c r="E4" s="2130"/>
      <c r="F4" s="2130"/>
      <c r="G4" s="2130"/>
      <c r="H4" s="2130"/>
      <c r="I4" s="2130"/>
    </row>
    <row r="5" spans="1:16" ht="15.6">
      <c r="A5" s="2176" t="s">
        <v>947</v>
      </c>
      <c r="B5" s="2176"/>
      <c r="C5" s="2176"/>
      <c r="D5" s="2176"/>
      <c r="E5" s="2176"/>
      <c r="F5" s="2176"/>
      <c r="G5" s="2176"/>
      <c r="H5" s="2176"/>
      <c r="I5" s="2176"/>
    </row>
    <row r="6" spans="1:16" ht="15.6">
      <c r="A6" s="2177" t="s">
        <v>1019</v>
      </c>
      <c r="B6" s="2177"/>
      <c r="C6" s="2177"/>
      <c r="D6" s="2177"/>
      <c r="E6" s="2177"/>
      <c r="F6" s="2177"/>
      <c r="G6" s="2177"/>
      <c r="H6" s="2177"/>
      <c r="I6" s="2177"/>
    </row>
    <row r="7" spans="1:16" ht="18" thickBot="1">
      <c r="A7" s="557"/>
      <c r="B7" s="557"/>
      <c r="C7" s="557"/>
      <c r="D7" s="557"/>
      <c r="E7" s="558"/>
      <c r="F7" s="529"/>
      <c r="G7" s="529"/>
      <c r="H7" s="529"/>
      <c r="I7" s="529"/>
    </row>
    <row r="8" spans="1:16" ht="13.5" customHeight="1" thickBot="1">
      <c r="A8" s="537" t="s">
        <v>7</v>
      </c>
      <c r="B8" s="537"/>
      <c r="C8" s="2178" t="s">
        <v>948</v>
      </c>
      <c r="D8" s="2180" t="s">
        <v>949</v>
      </c>
      <c r="E8" s="2180" t="s">
        <v>950</v>
      </c>
      <c r="F8" s="2180" t="s">
        <v>951</v>
      </c>
      <c r="G8" s="2182" t="s">
        <v>952</v>
      </c>
      <c r="H8" s="2180" t="s">
        <v>955</v>
      </c>
      <c r="I8" s="2184" t="s">
        <v>953</v>
      </c>
    </row>
    <row r="9" spans="1:16" ht="63" customHeight="1">
      <c r="A9" s="1891" t="s">
        <v>8</v>
      </c>
      <c r="B9" s="1892" t="s">
        <v>125</v>
      </c>
      <c r="C9" s="2179"/>
      <c r="D9" s="2181"/>
      <c r="E9" s="2181"/>
      <c r="F9" s="2181"/>
      <c r="G9" s="2183"/>
      <c r="H9" s="2181"/>
      <c r="I9" s="2185"/>
    </row>
    <row r="10" spans="1:16" ht="12.75" customHeight="1">
      <c r="A10" s="1349" t="s">
        <v>9</v>
      </c>
      <c r="B10" s="1350" t="s">
        <v>10</v>
      </c>
      <c r="C10" s="1770">
        <v>71</v>
      </c>
      <c r="D10" s="1781">
        <v>11</v>
      </c>
      <c r="E10" s="1771">
        <v>2917</v>
      </c>
      <c r="F10" s="1771">
        <v>164</v>
      </c>
      <c r="G10" s="1784">
        <v>57</v>
      </c>
      <c r="H10" s="1783">
        <f>E10/C10</f>
        <v>41.08450704225352</v>
      </c>
      <c r="I10" s="1789">
        <f>(D10+G10)/F10</f>
        <v>0.41463414634146339</v>
      </c>
    </row>
    <row r="11" spans="1:16">
      <c r="A11" s="1352" t="s">
        <v>11</v>
      </c>
      <c r="B11" s="1353" t="s">
        <v>12</v>
      </c>
      <c r="C11" s="1772">
        <v>36</v>
      </c>
      <c r="D11" s="1782">
        <v>4</v>
      </c>
      <c r="E11" s="1773">
        <v>1529</v>
      </c>
      <c r="F11" s="1773">
        <v>106</v>
      </c>
      <c r="G11" s="1785">
        <v>32</v>
      </c>
      <c r="H11" s="1783">
        <f t="shared" ref="H11:H62" si="0">E11/C11</f>
        <v>42.472222222222221</v>
      </c>
      <c r="I11" s="1791">
        <f t="shared" ref="I11:I62" si="1">(D11+G11)/F11</f>
        <v>0.33962264150943394</v>
      </c>
      <c r="M11">
        <f>F10/C10</f>
        <v>2.3098591549295775</v>
      </c>
      <c r="P11" s="1791"/>
    </row>
    <row r="12" spans="1:16">
      <c r="A12" s="1352" t="s">
        <v>13</v>
      </c>
      <c r="B12" s="1353" t="s">
        <v>14</v>
      </c>
      <c r="C12" s="1772">
        <v>4</v>
      </c>
      <c r="D12" s="1264"/>
      <c r="E12" s="1773">
        <v>119</v>
      </c>
      <c r="F12" s="1773">
        <v>45</v>
      </c>
      <c r="G12" s="1785">
        <v>4</v>
      </c>
      <c r="H12" s="1783">
        <f t="shared" si="0"/>
        <v>29.75</v>
      </c>
      <c r="I12" s="1793">
        <f t="shared" si="1"/>
        <v>8.8888888888888892E-2</v>
      </c>
    </row>
    <row r="13" spans="1:16">
      <c r="A13" s="1352" t="s">
        <v>15</v>
      </c>
      <c r="B13" s="1353" t="s">
        <v>16</v>
      </c>
      <c r="C13" s="1772">
        <v>18</v>
      </c>
      <c r="D13" s="1782">
        <v>1</v>
      </c>
      <c r="E13" s="1773">
        <v>1518</v>
      </c>
      <c r="F13" s="1773">
        <v>321</v>
      </c>
      <c r="G13" s="1785">
        <v>17</v>
      </c>
      <c r="H13" s="1783">
        <f t="shared" si="0"/>
        <v>84.333333333333329</v>
      </c>
      <c r="I13" s="1793">
        <f t="shared" si="1"/>
        <v>5.6074766355140186E-2</v>
      </c>
    </row>
    <row r="14" spans="1:16">
      <c r="A14" s="1352" t="s">
        <v>17</v>
      </c>
      <c r="B14" s="1353" t="s">
        <v>18</v>
      </c>
      <c r="C14" s="1772">
        <v>50</v>
      </c>
      <c r="D14" s="1782">
        <f>10+1</f>
        <v>11</v>
      </c>
      <c r="E14" s="1773">
        <v>3256</v>
      </c>
      <c r="F14" s="1773">
        <v>327</v>
      </c>
      <c r="G14" s="1785">
        <v>38</v>
      </c>
      <c r="H14" s="1783">
        <f t="shared" si="0"/>
        <v>65.12</v>
      </c>
      <c r="I14" s="1793">
        <f t="shared" si="1"/>
        <v>0.14984709480122324</v>
      </c>
    </row>
    <row r="15" spans="1:16">
      <c r="A15" s="1352" t="s">
        <v>19</v>
      </c>
      <c r="B15" s="1353" t="s">
        <v>20</v>
      </c>
      <c r="C15" s="1772">
        <v>101</v>
      </c>
      <c r="D15" s="1782">
        <f>26+1</f>
        <v>27</v>
      </c>
      <c r="E15" s="1773">
        <v>3529</v>
      </c>
      <c r="F15" s="1773">
        <v>337</v>
      </c>
      <c r="G15" s="1785">
        <v>72</v>
      </c>
      <c r="H15" s="1783">
        <f t="shared" si="0"/>
        <v>34.940594059405939</v>
      </c>
      <c r="I15" s="1793">
        <f t="shared" si="1"/>
        <v>0.29376854599406527</v>
      </c>
      <c r="M15">
        <f>F15/C15</f>
        <v>3.3366336633663365</v>
      </c>
    </row>
    <row r="16" spans="1:16" ht="27" customHeight="1">
      <c r="A16" s="1352" t="s">
        <v>21</v>
      </c>
      <c r="B16" s="1353" t="s">
        <v>22</v>
      </c>
      <c r="C16" s="1772">
        <v>31</v>
      </c>
      <c r="D16" s="1782">
        <v>4</v>
      </c>
      <c r="E16" s="1773">
        <v>1653</v>
      </c>
      <c r="F16" s="1773">
        <v>393</v>
      </c>
      <c r="G16" s="1785">
        <v>26</v>
      </c>
      <c r="H16" s="1783">
        <f t="shared" si="0"/>
        <v>53.322580645161288</v>
      </c>
      <c r="I16" s="1793">
        <f t="shared" si="1"/>
        <v>7.6335877862595422E-2</v>
      </c>
    </row>
    <row r="17" spans="1:16">
      <c r="A17" s="1352" t="s">
        <v>23</v>
      </c>
      <c r="B17" s="1353" t="s">
        <v>24</v>
      </c>
      <c r="C17" s="1772">
        <f>8+1</f>
        <v>9</v>
      </c>
      <c r="D17" s="1782"/>
      <c r="E17" s="1773">
        <v>298</v>
      </c>
      <c r="F17" s="1773">
        <v>115</v>
      </c>
      <c r="G17" s="1785">
        <f>8+1</f>
        <v>9</v>
      </c>
      <c r="H17" s="1783">
        <f t="shared" si="0"/>
        <v>33.111111111111114</v>
      </c>
      <c r="I17" s="1793">
        <f t="shared" si="1"/>
        <v>7.8260869565217397E-2</v>
      </c>
    </row>
    <row r="18" spans="1:16">
      <c r="A18" s="1352" t="s">
        <v>25</v>
      </c>
      <c r="B18" s="1353" t="s">
        <v>26</v>
      </c>
      <c r="C18" s="1772">
        <f>16+1</f>
        <v>17</v>
      </c>
      <c r="D18" s="1782">
        <v>4</v>
      </c>
      <c r="E18" s="1773">
        <v>745</v>
      </c>
      <c r="F18" s="1773">
        <v>410</v>
      </c>
      <c r="G18" s="1785">
        <f>10+1</f>
        <v>11</v>
      </c>
      <c r="H18" s="1783">
        <f t="shared" si="0"/>
        <v>43.823529411764703</v>
      </c>
      <c r="I18" s="1793">
        <f t="shared" si="1"/>
        <v>3.6585365853658534E-2</v>
      </c>
    </row>
    <row r="19" spans="1:16">
      <c r="A19" s="1352" t="s">
        <v>27</v>
      </c>
      <c r="B19" s="1353" t="s">
        <v>28</v>
      </c>
      <c r="C19" s="1772">
        <v>7</v>
      </c>
      <c r="D19" s="1782"/>
      <c r="E19" s="1773">
        <v>734</v>
      </c>
      <c r="F19" s="1773">
        <v>246</v>
      </c>
      <c r="G19" s="1785">
        <v>7</v>
      </c>
      <c r="H19" s="1783">
        <f t="shared" si="0"/>
        <v>104.85714285714286</v>
      </c>
      <c r="I19" s="1793">
        <f t="shared" si="1"/>
        <v>2.8455284552845527E-2</v>
      </c>
    </row>
    <row r="20" spans="1:16">
      <c r="A20" s="1352" t="s">
        <v>29</v>
      </c>
      <c r="B20" s="1353" t="s">
        <v>30</v>
      </c>
      <c r="C20" s="1772">
        <f>58+1</f>
        <v>59</v>
      </c>
      <c r="D20" s="1782">
        <v>9</v>
      </c>
      <c r="E20" s="1773">
        <v>2087</v>
      </c>
      <c r="F20" s="1773">
        <v>389</v>
      </c>
      <c r="G20" s="1785">
        <f>47+1</f>
        <v>48</v>
      </c>
      <c r="H20" s="1783">
        <f t="shared" si="0"/>
        <v>35.372881355932201</v>
      </c>
      <c r="I20" s="1793">
        <f t="shared" si="1"/>
        <v>0.14652956298200515</v>
      </c>
    </row>
    <row r="21" spans="1:16">
      <c r="A21" s="1352" t="s">
        <v>31</v>
      </c>
      <c r="B21" s="1353" t="s">
        <v>32</v>
      </c>
      <c r="C21" s="1772">
        <v>8</v>
      </c>
      <c r="D21" s="1782">
        <v>3</v>
      </c>
      <c r="E21" s="1773">
        <v>250</v>
      </c>
      <c r="F21" s="1773">
        <v>87</v>
      </c>
      <c r="G21" s="1785">
        <v>5</v>
      </c>
      <c r="H21" s="1783">
        <f t="shared" si="0"/>
        <v>31.25</v>
      </c>
      <c r="I21" s="1793">
        <f t="shared" si="1"/>
        <v>9.1954022988505746E-2</v>
      </c>
    </row>
    <row r="22" spans="1:16">
      <c r="A22" s="1352" t="s">
        <v>33</v>
      </c>
      <c r="B22" s="1353" t="s">
        <v>34</v>
      </c>
      <c r="C22" s="1772">
        <v>2</v>
      </c>
      <c r="D22" s="1782"/>
      <c r="E22" s="1773">
        <v>30</v>
      </c>
      <c r="F22" s="1773">
        <v>30</v>
      </c>
      <c r="G22" s="1785">
        <v>1</v>
      </c>
      <c r="H22" s="1783">
        <f t="shared" si="0"/>
        <v>15</v>
      </c>
      <c r="I22" s="1793">
        <f t="shared" si="1"/>
        <v>3.3333333333333333E-2</v>
      </c>
    </row>
    <row r="23" spans="1:16" ht="26.4">
      <c r="A23" s="1352" t="s">
        <v>35</v>
      </c>
      <c r="B23" s="1353" t="s">
        <v>36</v>
      </c>
      <c r="C23" s="1772">
        <v>37</v>
      </c>
      <c r="D23" s="1782">
        <v>8</v>
      </c>
      <c r="E23" s="1773">
        <v>1732</v>
      </c>
      <c r="F23" s="1773">
        <v>334</v>
      </c>
      <c r="G23" s="1785">
        <v>26</v>
      </c>
      <c r="H23" s="1783">
        <f t="shared" si="0"/>
        <v>46.810810810810814</v>
      </c>
      <c r="I23" s="1793">
        <f t="shared" si="1"/>
        <v>0.10179640718562874</v>
      </c>
    </row>
    <row r="24" spans="1:16" ht="26.4">
      <c r="A24" s="1352" t="s">
        <v>37</v>
      </c>
      <c r="B24" s="1353" t="s">
        <v>122</v>
      </c>
      <c r="C24" s="1772">
        <v>16</v>
      </c>
      <c r="D24" s="1782">
        <v>1</v>
      </c>
      <c r="E24" s="1773">
        <v>309</v>
      </c>
      <c r="F24" s="1773">
        <v>140</v>
      </c>
      <c r="G24" s="1785">
        <v>15</v>
      </c>
      <c r="H24" s="1783">
        <f t="shared" si="0"/>
        <v>19.3125</v>
      </c>
      <c r="I24" s="1793">
        <f t="shared" si="1"/>
        <v>0.11428571428571428</v>
      </c>
    </row>
    <row r="25" spans="1:16" ht="17.25" customHeight="1">
      <c r="A25" s="1352" t="s">
        <v>38</v>
      </c>
      <c r="B25" s="1353" t="s">
        <v>39</v>
      </c>
      <c r="C25" s="1772">
        <v>54</v>
      </c>
      <c r="D25" s="1782">
        <v>2</v>
      </c>
      <c r="E25" s="1773">
        <v>1286</v>
      </c>
      <c r="F25" s="1773">
        <v>367</v>
      </c>
      <c r="G25" s="1785">
        <v>48</v>
      </c>
      <c r="H25" s="1783">
        <f t="shared" si="0"/>
        <v>23.814814814814813</v>
      </c>
      <c r="I25" s="1793">
        <f t="shared" si="1"/>
        <v>0.13623978201634879</v>
      </c>
    </row>
    <row r="26" spans="1:16">
      <c r="A26" s="1352" t="s">
        <v>40</v>
      </c>
      <c r="B26" s="1353" t="s">
        <v>41</v>
      </c>
      <c r="C26" s="1772">
        <f>13+1</f>
        <v>14</v>
      </c>
      <c r="D26" s="1782">
        <v>2</v>
      </c>
      <c r="E26" s="1773">
        <v>850</v>
      </c>
      <c r="F26" s="1773">
        <v>313</v>
      </c>
      <c r="G26" s="1785">
        <f>11+1</f>
        <v>12</v>
      </c>
      <c r="H26" s="1783">
        <f t="shared" si="0"/>
        <v>60.714285714285715</v>
      </c>
      <c r="I26" s="1793">
        <f t="shared" si="1"/>
        <v>4.472843450479233E-2</v>
      </c>
    </row>
    <row r="27" spans="1:16" ht="51" customHeight="1">
      <c r="A27" s="1352" t="s">
        <v>42</v>
      </c>
      <c r="B27" s="1353" t="s">
        <v>230</v>
      </c>
      <c r="C27" s="1772">
        <f>33+2</f>
        <v>35</v>
      </c>
      <c r="D27" s="1782">
        <v>3</v>
      </c>
      <c r="E27" s="1773">
        <v>1426</v>
      </c>
      <c r="F27" s="1773">
        <v>454</v>
      </c>
      <c r="G27" s="1785">
        <f>28+2</f>
        <v>30</v>
      </c>
      <c r="H27" s="1783">
        <f t="shared" si="0"/>
        <v>40.74285714285714</v>
      </c>
      <c r="I27" s="1793">
        <f t="shared" si="1"/>
        <v>7.268722466960352E-2</v>
      </c>
      <c r="P27">
        <f>53/125</f>
        <v>0.42399999999999999</v>
      </c>
    </row>
    <row r="28" spans="1:16">
      <c r="A28" s="1352" t="s">
        <v>43</v>
      </c>
      <c r="B28" s="1353" t="s">
        <v>44</v>
      </c>
      <c r="C28" s="1772">
        <v>29</v>
      </c>
      <c r="D28" s="1782">
        <v>1</v>
      </c>
      <c r="E28" s="1773">
        <v>2360</v>
      </c>
      <c r="F28" s="1773">
        <v>567</v>
      </c>
      <c r="G28" s="1785">
        <v>28</v>
      </c>
      <c r="H28" s="1783">
        <f t="shared" si="0"/>
        <v>81.379310344827587</v>
      </c>
      <c r="I28" s="1793">
        <f t="shared" si="1"/>
        <v>5.114638447971781E-2</v>
      </c>
    </row>
    <row r="29" spans="1:16">
      <c r="A29" s="1352">
        <v>20</v>
      </c>
      <c r="B29" s="1353" t="s">
        <v>320</v>
      </c>
      <c r="C29" s="1772">
        <v>6</v>
      </c>
      <c r="D29" s="1949">
        <v>1</v>
      </c>
      <c r="E29" s="1944">
        <v>238</v>
      </c>
      <c r="F29" s="1943">
        <v>159</v>
      </c>
      <c r="G29" s="1785">
        <v>5</v>
      </c>
      <c r="H29" s="1783">
        <f>E29/C29</f>
        <v>39.666666666666664</v>
      </c>
      <c r="I29" s="1793">
        <f>(D29+G29)/F29</f>
        <v>3.7735849056603772E-2</v>
      </c>
    </row>
    <row r="30" spans="1:16" ht="26.4">
      <c r="A30" s="1352" t="s">
        <v>46</v>
      </c>
      <c r="B30" s="1353" t="s">
        <v>231</v>
      </c>
      <c r="C30" s="1772">
        <v>16</v>
      </c>
      <c r="D30" s="1782">
        <v>1</v>
      </c>
      <c r="E30" s="1773">
        <v>571</v>
      </c>
      <c r="F30" s="1773">
        <v>273</v>
      </c>
      <c r="G30" s="1785">
        <v>15</v>
      </c>
      <c r="H30" s="1783">
        <f t="shared" si="0"/>
        <v>35.6875</v>
      </c>
      <c r="I30" s="1793">
        <f t="shared" si="1"/>
        <v>5.8608058608058608E-2</v>
      </c>
    </row>
    <row r="31" spans="1:16" ht="29.25" customHeight="1">
      <c r="A31" s="1352" t="s">
        <v>47</v>
      </c>
      <c r="B31" s="1353" t="s">
        <v>232</v>
      </c>
      <c r="C31" s="1772">
        <f>37+2</f>
        <v>39</v>
      </c>
      <c r="D31" s="1782"/>
      <c r="E31" s="1773">
        <v>2205</v>
      </c>
      <c r="F31" s="1773">
        <v>637</v>
      </c>
      <c r="G31" s="1785">
        <f>35+2</f>
        <v>37</v>
      </c>
      <c r="H31" s="1783">
        <f t="shared" si="0"/>
        <v>56.53846153846154</v>
      </c>
      <c r="I31" s="1793">
        <f t="shared" si="1"/>
        <v>5.8084772370486655E-2</v>
      </c>
    </row>
    <row r="32" spans="1:16" ht="26.4">
      <c r="A32" s="1352" t="s">
        <v>48</v>
      </c>
      <c r="B32" s="1353" t="s">
        <v>49</v>
      </c>
      <c r="C32" s="1772">
        <v>20</v>
      </c>
      <c r="D32" s="1782">
        <v>2</v>
      </c>
      <c r="E32" s="1773">
        <v>1005</v>
      </c>
      <c r="F32" s="1773">
        <v>310</v>
      </c>
      <c r="G32" s="1785">
        <v>18</v>
      </c>
      <c r="H32" s="1783">
        <f t="shared" si="0"/>
        <v>50.25</v>
      </c>
      <c r="I32" s="1793">
        <f t="shared" si="1"/>
        <v>6.4516129032258063E-2</v>
      </c>
    </row>
    <row r="33" spans="1:16">
      <c r="A33" s="1352" t="s">
        <v>50</v>
      </c>
      <c r="B33" s="1353" t="s">
        <v>51</v>
      </c>
      <c r="C33" s="1772">
        <v>7</v>
      </c>
      <c r="D33" s="1782">
        <v>1</v>
      </c>
      <c r="E33" s="1773">
        <v>301</v>
      </c>
      <c r="F33" s="1773">
        <v>124</v>
      </c>
      <c r="G33" s="1785">
        <v>6</v>
      </c>
      <c r="H33" s="1783">
        <f t="shared" si="0"/>
        <v>43</v>
      </c>
      <c r="I33" s="1793">
        <f t="shared" si="1"/>
        <v>5.6451612903225805E-2</v>
      </c>
    </row>
    <row r="34" spans="1:16">
      <c r="A34" s="1352" t="s">
        <v>52</v>
      </c>
      <c r="B34" s="1353" t="s">
        <v>53</v>
      </c>
      <c r="C34" s="1772">
        <v>16</v>
      </c>
      <c r="D34" s="1782"/>
      <c r="E34" s="1773">
        <v>1938</v>
      </c>
      <c r="F34" s="1773">
        <v>434</v>
      </c>
      <c r="G34" s="1785">
        <v>16</v>
      </c>
      <c r="H34" s="1783">
        <f t="shared" si="0"/>
        <v>121.125</v>
      </c>
      <c r="I34" s="1793">
        <f t="shared" si="1"/>
        <v>3.6866359447004608E-2</v>
      </c>
    </row>
    <row r="35" spans="1:16" ht="26.4">
      <c r="A35" s="1352" t="s">
        <v>54</v>
      </c>
      <c r="B35" s="1353" t="s">
        <v>55</v>
      </c>
      <c r="C35" s="1772">
        <f>44+1</f>
        <v>45</v>
      </c>
      <c r="D35" s="1782"/>
      <c r="E35" s="1773">
        <v>2302</v>
      </c>
      <c r="F35" s="1773">
        <v>418</v>
      </c>
      <c r="G35" s="1785">
        <f>43+1</f>
        <v>44</v>
      </c>
      <c r="H35" s="1783">
        <f t="shared" si="0"/>
        <v>51.155555555555559</v>
      </c>
      <c r="I35" s="1793">
        <f t="shared" si="1"/>
        <v>0.10526315789473684</v>
      </c>
    </row>
    <row r="36" spans="1:16">
      <c r="A36" s="1352" t="s">
        <v>56</v>
      </c>
      <c r="B36" s="1353" t="s">
        <v>57</v>
      </c>
      <c r="C36" s="1772">
        <v>88</v>
      </c>
      <c r="D36" s="1782">
        <v>4</v>
      </c>
      <c r="E36" s="1773">
        <v>2467</v>
      </c>
      <c r="F36" s="1773">
        <v>582</v>
      </c>
      <c r="G36" s="1785">
        <v>80</v>
      </c>
      <c r="H36" s="1783">
        <f t="shared" si="0"/>
        <v>28.03409090909091</v>
      </c>
      <c r="I36" s="1793">
        <f t="shared" si="1"/>
        <v>0.14432989690721648</v>
      </c>
      <c r="M36">
        <f>F35/C35</f>
        <v>9.2888888888888896</v>
      </c>
    </row>
    <row r="37" spans="1:16">
      <c r="A37" s="1352" t="s">
        <v>58</v>
      </c>
      <c r="B37" s="1353" t="s">
        <v>59</v>
      </c>
      <c r="C37" s="1772">
        <v>23</v>
      </c>
      <c r="D37" s="1782">
        <v>1</v>
      </c>
      <c r="E37" s="1773">
        <v>681</v>
      </c>
      <c r="F37" s="1773">
        <v>337</v>
      </c>
      <c r="G37" s="1785">
        <v>22</v>
      </c>
      <c r="H37" s="1783">
        <f t="shared" si="0"/>
        <v>29.608695652173914</v>
      </c>
      <c r="I37" s="1793">
        <f t="shared" si="1"/>
        <v>6.8249258160237386E-2</v>
      </c>
    </row>
    <row r="38" spans="1:16">
      <c r="A38" s="1352" t="s">
        <v>60</v>
      </c>
      <c r="B38" s="1353" t="s">
        <v>61</v>
      </c>
      <c r="C38" s="1772">
        <v>5</v>
      </c>
      <c r="D38" s="1782"/>
      <c r="E38" s="1773">
        <v>122</v>
      </c>
      <c r="F38" s="1773">
        <v>104</v>
      </c>
      <c r="G38" s="1785">
        <v>5</v>
      </c>
      <c r="H38" s="1783">
        <f t="shared" si="0"/>
        <v>24.4</v>
      </c>
      <c r="I38" s="1793">
        <f t="shared" si="1"/>
        <v>4.807692307692308E-2</v>
      </c>
    </row>
    <row r="39" spans="1:16">
      <c r="A39" s="1352" t="s">
        <v>62</v>
      </c>
      <c r="B39" s="1353" t="s">
        <v>63</v>
      </c>
      <c r="C39" s="1772">
        <v>10</v>
      </c>
      <c r="D39" s="1782"/>
      <c r="E39" s="1773">
        <v>229</v>
      </c>
      <c r="F39" s="1773">
        <v>140</v>
      </c>
      <c r="G39" s="1785">
        <v>10</v>
      </c>
      <c r="H39" s="1783">
        <f t="shared" si="0"/>
        <v>22.9</v>
      </c>
      <c r="I39" s="1793">
        <f t="shared" si="1"/>
        <v>7.1428571428571425E-2</v>
      </c>
    </row>
    <row r="40" spans="1:16">
      <c r="A40" s="1352" t="s">
        <v>64</v>
      </c>
      <c r="B40" s="1353" t="s">
        <v>65</v>
      </c>
      <c r="C40" s="1772">
        <v>9</v>
      </c>
      <c r="D40" s="1782"/>
      <c r="E40" s="1773">
        <v>311</v>
      </c>
      <c r="F40" s="1773">
        <v>212</v>
      </c>
      <c r="G40" s="1785">
        <v>9</v>
      </c>
      <c r="H40" s="1783">
        <f t="shared" si="0"/>
        <v>34.555555555555557</v>
      </c>
      <c r="I40" s="1793">
        <f t="shared" si="1"/>
        <v>4.2452830188679243E-2</v>
      </c>
    </row>
    <row r="41" spans="1:16">
      <c r="A41" s="1352" t="s">
        <v>66</v>
      </c>
      <c r="B41" s="1353" t="s">
        <v>67</v>
      </c>
      <c r="C41" s="1772">
        <v>8</v>
      </c>
      <c r="D41" s="1782"/>
      <c r="E41" s="1773">
        <v>598</v>
      </c>
      <c r="F41" s="1773">
        <v>229</v>
      </c>
      <c r="G41" s="1785">
        <v>8</v>
      </c>
      <c r="H41" s="1783">
        <f t="shared" si="0"/>
        <v>74.75</v>
      </c>
      <c r="I41" s="1793">
        <f t="shared" si="1"/>
        <v>3.4934497816593885E-2</v>
      </c>
    </row>
    <row r="42" spans="1:16">
      <c r="A42" s="1355" t="s">
        <v>68</v>
      </c>
      <c r="B42" s="1353" t="s">
        <v>69</v>
      </c>
      <c r="C42" s="1772">
        <v>13</v>
      </c>
      <c r="D42" s="1782"/>
      <c r="E42" s="1773">
        <v>460</v>
      </c>
      <c r="F42" s="1773">
        <v>245</v>
      </c>
      <c r="G42" s="1785">
        <v>13</v>
      </c>
      <c r="H42" s="1783">
        <f t="shared" si="0"/>
        <v>35.384615384615387</v>
      </c>
      <c r="I42" s="1793">
        <f t="shared" si="1"/>
        <v>5.3061224489795916E-2</v>
      </c>
    </row>
    <row r="43" spans="1:16">
      <c r="A43" s="1352" t="s">
        <v>70</v>
      </c>
      <c r="B43" s="1353" t="s">
        <v>71</v>
      </c>
      <c r="C43" s="1772">
        <v>3</v>
      </c>
      <c r="D43" s="1782">
        <v>1</v>
      </c>
      <c r="E43" s="1773">
        <v>24</v>
      </c>
      <c r="F43" s="1773">
        <v>22</v>
      </c>
      <c r="G43" s="1785">
        <v>2</v>
      </c>
      <c r="H43" s="1783">
        <f t="shared" si="0"/>
        <v>8</v>
      </c>
      <c r="I43" s="1793">
        <f t="shared" si="1"/>
        <v>0.13636363636363635</v>
      </c>
    </row>
    <row r="44" spans="1:16" ht="18.75" customHeight="1">
      <c r="A44" s="1352" t="s">
        <v>72</v>
      </c>
      <c r="B44" s="1353" t="s">
        <v>73</v>
      </c>
      <c r="C44" s="1772">
        <v>10</v>
      </c>
      <c r="D44" s="1782"/>
      <c r="E44" s="1773">
        <v>243</v>
      </c>
      <c r="F44" s="1773">
        <v>172</v>
      </c>
      <c r="G44" s="1785">
        <v>10</v>
      </c>
      <c r="H44" s="1783">
        <f t="shared" si="0"/>
        <v>24.3</v>
      </c>
      <c r="I44" s="1793">
        <f t="shared" si="1"/>
        <v>5.8139534883720929E-2</v>
      </c>
    </row>
    <row r="45" spans="1:16" ht="26.4">
      <c r="A45" s="1352" t="s">
        <v>74</v>
      </c>
      <c r="B45" s="1353" t="s">
        <v>75</v>
      </c>
      <c r="C45" s="1772">
        <v>8</v>
      </c>
      <c r="D45" s="1782"/>
      <c r="E45" s="1773">
        <v>124</v>
      </c>
      <c r="F45" s="1773">
        <v>77</v>
      </c>
      <c r="G45" s="1785">
        <v>8</v>
      </c>
      <c r="H45" s="1783">
        <f t="shared" si="0"/>
        <v>15.5</v>
      </c>
      <c r="I45" s="1793">
        <f t="shared" si="1"/>
        <v>0.1038961038961039</v>
      </c>
    </row>
    <row r="46" spans="1:16" ht="26.4">
      <c r="A46" s="1352" t="s">
        <v>76</v>
      </c>
      <c r="B46" s="1353" t="s">
        <v>77</v>
      </c>
      <c r="C46" s="1772">
        <v>2</v>
      </c>
      <c r="D46" s="1782"/>
      <c r="E46" s="1773">
        <v>14</v>
      </c>
      <c r="F46" s="1773">
        <v>11</v>
      </c>
      <c r="G46" s="1785">
        <v>1</v>
      </c>
      <c r="H46" s="1783">
        <f t="shared" si="0"/>
        <v>7</v>
      </c>
      <c r="I46" s="1793">
        <f t="shared" si="1"/>
        <v>9.0909090909090912E-2</v>
      </c>
    </row>
    <row r="47" spans="1:16">
      <c r="A47" s="1352" t="s">
        <v>78</v>
      </c>
      <c r="B47" s="1353" t="s">
        <v>79</v>
      </c>
      <c r="C47" s="1772">
        <v>60</v>
      </c>
      <c r="D47" s="1782">
        <v>3</v>
      </c>
      <c r="E47" s="1773">
        <v>1418</v>
      </c>
      <c r="F47" s="1773">
        <v>420</v>
      </c>
      <c r="G47" s="1785">
        <v>53</v>
      </c>
      <c r="H47" s="1783">
        <f t="shared" si="0"/>
        <v>23.633333333333333</v>
      </c>
      <c r="I47" s="1793">
        <f t="shared" si="1"/>
        <v>0.13333333333333333</v>
      </c>
    </row>
    <row r="48" spans="1:16" ht="17.25" customHeight="1">
      <c r="A48" s="1352" t="s">
        <v>80</v>
      </c>
      <c r="B48" s="1353" t="s">
        <v>81</v>
      </c>
      <c r="C48" s="1772">
        <v>29</v>
      </c>
      <c r="D48" s="1782"/>
      <c r="E48" s="1773">
        <v>787</v>
      </c>
      <c r="F48" s="1773">
        <v>330</v>
      </c>
      <c r="G48" s="1785">
        <v>29</v>
      </c>
      <c r="H48" s="1783">
        <f t="shared" si="0"/>
        <v>27.137931034482758</v>
      </c>
      <c r="I48" s="1793">
        <f t="shared" si="1"/>
        <v>8.7878787878787876E-2</v>
      </c>
      <c r="P48" s="1788">
        <f>(14+46)/176</f>
        <v>0.34090909090909088</v>
      </c>
    </row>
    <row r="49" spans="1:14">
      <c r="A49" s="1352" t="s">
        <v>82</v>
      </c>
      <c r="B49" s="1353" t="s">
        <v>83</v>
      </c>
      <c r="C49" s="1772">
        <v>23</v>
      </c>
      <c r="D49" s="1782">
        <f>1+1</f>
        <v>2</v>
      </c>
      <c r="E49" s="1773">
        <v>597</v>
      </c>
      <c r="F49" s="1773">
        <v>206</v>
      </c>
      <c r="G49" s="1785">
        <v>20</v>
      </c>
      <c r="H49" s="1783">
        <f t="shared" si="0"/>
        <v>25.956521739130434</v>
      </c>
      <c r="I49" s="1793">
        <f t="shared" si="1"/>
        <v>0.10679611650485436</v>
      </c>
    </row>
    <row r="50" spans="1:14">
      <c r="A50" s="1352" t="s">
        <v>84</v>
      </c>
      <c r="B50" s="1353" t="s">
        <v>516</v>
      </c>
      <c r="C50" s="1772">
        <v>20</v>
      </c>
      <c r="D50" s="1782">
        <v>2</v>
      </c>
      <c r="E50" s="1773">
        <v>468</v>
      </c>
      <c r="F50" s="1773">
        <v>207</v>
      </c>
      <c r="G50" s="1785">
        <v>18</v>
      </c>
      <c r="H50" s="1783">
        <f t="shared" si="0"/>
        <v>23.4</v>
      </c>
      <c r="I50" s="1793">
        <f t="shared" si="1"/>
        <v>9.6618357487922704E-2</v>
      </c>
    </row>
    <row r="51" spans="1:14">
      <c r="A51" s="1352" t="s">
        <v>85</v>
      </c>
      <c r="B51" s="1353" t="s">
        <v>86</v>
      </c>
      <c r="C51" s="1772">
        <v>20</v>
      </c>
      <c r="D51" s="1782"/>
      <c r="E51" s="1773">
        <v>581</v>
      </c>
      <c r="F51" s="1773">
        <v>352</v>
      </c>
      <c r="G51" s="1785">
        <v>19</v>
      </c>
      <c r="H51" s="1783">
        <f t="shared" si="0"/>
        <v>29.05</v>
      </c>
      <c r="I51" s="1793">
        <f t="shared" si="1"/>
        <v>5.3977272727272728E-2</v>
      </c>
    </row>
    <row r="52" spans="1:14">
      <c r="A52" s="1352" t="s">
        <v>87</v>
      </c>
      <c r="B52" s="1353" t="s">
        <v>88</v>
      </c>
      <c r="C52" s="1772">
        <v>16</v>
      </c>
      <c r="D52" s="1782"/>
      <c r="E52" s="1773">
        <v>480</v>
      </c>
      <c r="F52" s="1773">
        <v>296</v>
      </c>
      <c r="G52" s="1785">
        <v>16</v>
      </c>
      <c r="H52" s="1783">
        <f t="shared" si="0"/>
        <v>30</v>
      </c>
      <c r="I52" s="1793">
        <f t="shared" si="1"/>
        <v>5.4054054054054057E-2</v>
      </c>
    </row>
    <row r="53" spans="1:14">
      <c r="A53" s="1352" t="s">
        <v>89</v>
      </c>
      <c r="B53" s="1353" t="s">
        <v>90</v>
      </c>
      <c r="C53" s="1772">
        <v>16</v>
      </c>
      <c r="D53" s="1782"/>
      <c r="E53" s="1773">
        <v>414</v>
      </c>
      <c r="F53" s="1773">
        <v>236</v>
      </c>
      <c r="G53" s="1785">
        <v>16</v>
      </c>
      <c r="H53" s="1783">
        <f t="shared" si="0"/>
        <v>25.875</v>
      </c>
      <c r="I53" s="1793">
        <f t="shared" si="1"/>
        <v>6.7796610169491525E-2</v>
      </c>
    </row>
    <row r="54" spans="1:14">
      <c r="A54" s="1352" t="s">
        <v>91</v>
      </c>
      <c r="B54" s="1353" t="s">
        <v>92</v>
      </c>
      <c r="C54" s="1772">
        <v>17</v>
      </c>
      <c r="D54" s="1782"/>
      <c r="E54" s="1773">
        <v>335</v>
      </c>
      <c r="F54" s="1773">
        <v>232</v>
      </c>
      <c r="G54" s="1785">
        <v>17</v>
      </c>
      <c r="H54" s="1783">
        <f t="shared" si="0"/>
        <v>19.705882352941178</v>
      </c>
      <c r="I54" s="1793">
        <f t="shared" si="1"/>
        <v>7.3275862068965511E-2</v>
      </c>
    </row>
    <row r="55" spans="1:14">
      <c r="A55" s="1352" t="s">
        <v>93</v>
      </c>
      <c r="B55" s="1353" t="s">
        <v>94</v>
      </c>
      <c r="C55" s="1772">
        <v>7</v>
      </c>
      <c r="D55" s="1782"/>
      <c r="E55" s="1773">
        <v>148</v>
      </c>
      <c r="F55" s="1773">
        <v>132</v>
      </c>
      <c r="G55" s="1785">
        <v>7</v>
      </c>
      <c r="H55" s="1783">
        <f t="shared" si="0"/>
        <v>21.142857142857142</v>
      </c>
      <c r="I55" s="1793">
        <f t="shared" si="1"/>
        <v>5.3030303030303032E-2</v>
      </c>
    </row>
    <row r="56" spans="1:14">
      <c r="A56" s="1352" t="s">
        <v>95</v>
      </c>
      <c r="B56" s="1353" t="s">
        <v>96</v>
      </c>
      <c r="C56" s="1772">
        <v>4</v>
      </c>
      <c r="D56" s="1782"/>
      <c r="E56" s="1773">
        <v>52</v>
      </c>
      <c r="F56" s="1773">
        <v>46</v>
      </c>
      <c r="G56" s="1785">
        <v>4</v>
      </c>
      <c r="H56" s="1783">
        <f t="shared" si="0"/>
        <v>13</v>
      </c>
      <c r="I56" s="1793">
        <f t="shared" si="1"/>
        <v>8.6956521739130432E-2</v>
      </c>
      <c r="N56">
        <f>49777/9220</f>
        <v>5.3988069414316699</v>
      </c>
    </row>
    <row r="57" spans="1:14">
      <c r="A57" s="1352" t="s">
        <v>97</v>
      </c>
      <c r="B57" s="1353" t="s">
        <v>98</v>
      </c>
      <c r="C57" s="1772">
        <v>39</v>
      </c>
      <c r="D57" s="1782">
        <v>2</v>
      </c>
      <c r="E57" s="1773">
        <v>1356</v>
      </c>
      <c r="F57" s="1773">
        <v>467</v>
      </c>
      <c r="G57" s="1785">
        <v>36</v>
      </c>
      <c r="H57" s="1783">
        <f t="shared" si="0"/>
        <v>34.769230769230766</v>
      </c>
      <c r="I57" s="1793">
        <f t="shared" si="1"/>
        <v>8.137044967880086E-2</v>
      </c>
    </row>
    <row r="58" spans="1:14">
      <c r="A58" s="1352" t="s">
        <v>99</v>
      </c>
      <c r="B58" s="1353" t="s">
        <v>100</v>
      </c>
      <c r="C58" s="1772">
        <f>32+1</f>
        <v>33</v>
      </c>
      <c r="D58" s="1782">
        <v>2</v>
      </c>
      <c r="E58" s="1773">
        <v>1147</v>
      </c>
      <c r="F58" s="1773">
        <v>288</v>
      </c>
      <c r="G58" s="1785">
        <f>28+1</f>
        <v>29</v>
      </c>
      <c r="H58" s="1783">
        <f t="shared" si="0"/>
        <v>34.757575757575758</v>
      </c>
      <c r="I58" s="1793">
        <f t="shared" si="1"/>
        <v>0.1076388888888889</v>
      </c>
    </row>
    <row r="59" spans="1:14">
      <c r="A59" s="1355" t="s">
        <v>142</v>
      </c>
      <c r="B59" s="1353" t="s">
        <v>117</v>
      </c>
      <c r="C59" s="1772">
        <v>1</v>
      </c>
      <c r="D59" s="1782"/>
      <c r="E59" s="1773">
        <v>54</v>
      </c>
      <c r="F59" s="1773">
        <v>54</v>
      </c>
      <c r="G59" s="1785">
        <v>1</v>
      </c>
      <c r="H59" s="1783">
        <f t="shared" si="0"/>
        <v>54</v>
      </c>
      <c r="I59" s="1793">
        <f t="shared" si="1"/>
        <v>1.8518518518518517E-2</v>
      </c>
    </row>
    <row r="60" spans="1:14">
      <c r="A60" s="1352" t="s">
        <v>101</v>
      </c>
      <c r="B60" s="1353" t="s">
        <v>102</v>
      </c>
      <c r="C60" s="1772">
        <v>1</v>
      </c>
      <c r="D60" s="1782"/>
      <c r="E60" s="1773">
        <v>8</v>
      </c>
      <c r="F60" s="1773">
        <v>8</v>
      </c>
      <c r="G60" s="1785">
        <v>1</v>
      </c>
      <c r="H60" s="1783">
        <f t="shared" si="0"/>
        <v>8</v>
      </c>
      <c r="I60" s="1793">
        <f t="shared" si="1"/>
        <v>0.125</v>
      </c>
    </row>
    <row r="61" spans="1:14" ht="27" customHeight="1">
      <c r="A61" s="1352" t="s">
        <v>103</v>
      </c>
      <c r="B61" s="1353" t="s">
        <v>104</v>
      </c>
      <c r="C61" s="1772">
        <f>34+1</f>
        <v>35</v>
      </c>
      <c r="D61" s="1782">
        <v>6</v>
      </c>
      <c r="E61" s="1773">
        <v>709</v>
      </c>
      <c r="F61" s="1773">
        <v>269</v>
      </c>
      <c r="G61" s="1785">
        <f>28+1</f>
        <v>29</v>
      </c>
      <c r="H61" s="1783">
        <f t="shared" si="0"/>
        <v>20.257142857142856</v>
      </c>
      <c r="I61" s="1793">
        <f t="shared" si="1"/>
        <v>0.13011152416356878</v>
      </c>
    </row>
    <row r="62" spans="1:14">
      <c r="A62" s="1355" t="s">
        <v>578</v>
      </c>
      <c r="B62" s="1353" t="s">
        <v>200</v>
      </c>
      <c r="C62" s="1772">
        <v>2</v>
      </c>
      <c r="D62" s="1782"/>
      <c r="E62" s="1773">
        <v>15</v>
      </c>
      <c r="F62" s="1773">
        <v>13</v>
      </c>
      <c r="G62" s="1785">
        <v>2</v>
      </c>
      <c r="H62" s="1783">
        <f t="shared" si="0"/>
        <v>7.5</v>
      </c>
      <c r="I62" s="1793">
        <f t="shared" si="1"/>
        <v>0.15384615384615385</v>
      </c>
    </row>
    <row r="63" spans="1:14" ht="26.4">
      <c r="A63" s="1356" t="s">
        <v>517</v>
      </c>
      <c r="B63" s="1357" t="s">
        <v>518</v>
      </c>
      <c r="C63" s="1772">
        <v>9</v>
      </c>
      <c r="D63" s="1782">
        <v>1</v>
      </c>
      <c r="E63" s="1773">
        <v>127</v>
      </c>
      <c r="F63" s="1773">
        <v>87</v>
      </c>
      <c r="G63" s="1785">
        <v>8</v>
      </c>
      <c r="H63" s="1783">
        <f t="shared" ref="H63:H65" si="2">E63/C63</f>
        <v>14.111111111111111</v>
      </c>
      <c r="I63" s="1793">
        <f t="shared" ref="I63:I65" si="3">(D63+G63)/F63</f>
        <v>0.10344827586206896</v>
      </c>
      <c r="M63" s="1787"/>
    </row>
    <row r="64" spans="1:14" ht="13.5" customHeight="1">
      <c r="A64" s="1356" t="s">
        <v>519</v>
      </c>
      <c r="B64" s="1357" t="s">
        <v>520</v>
      </c>
      <c r="C64" s="1772">
        <f>23+1</f>
        <v>24</v>
      </c>
      <c r="D64" s="1782">
        <v>2</v>
      </c>
      <c r="E64" s="1773">
        <v>520</v>
      </c>
      <c r="F64" s="1773">
        <v>225</v>
      </c>
      <c r="G64" s="1785">
        <f>20+1</f>
        <v>21</v>
      </c>
      <c r="H64" s="1783">
        <f t="shared" si="2"/>
        <v>21.666666666666668</v>
      </c>
      <c r="I64" s="1792">
        <f t="shared" si="3"/>
        <v>0.10222222222222223</v>
      </c>
    </row>
    <row r="65" spans="1:13">
      <c r="A65" s="1356" t="s">
        <v>521</v>
      </c>
      <c r="B65" s="1357" t="s">
        <v>522</v>
      </c>
      <c r="C65" s="1774">
        <v>9</v>
      </c>
      <c r="D65" s="1775"/>
      <c r="E65" s="1776">
        <v>100</v>
      </c>
      <c r="F65" s="1776">
        <v>71</v>
      </c>
      <c r="G65" s="1786">
        <v>8</v>
      </c>
      <c r="H65" s="1783">
        <f t="shared" si="2"/>
        <v>11.111111111111111</v>
      </c>
      <c r="I65" s="1790">
        <f t="shared" si="3"/>
        <v>0.11267605633802817</v>
      </c>
    </row>
    <row r="66" spans="1:13" ht="13.8" thickBot="1">
      <c r="A66" s="1977" t="s">
        <v>155</v>
      </c>
      <c r="B66" s="1978" t="s">
        <v>1018</v>
      </c>
      <c r="C66" s="1715">
        <f>SUM(C10:C65)</f>
        <v>1291</v>
      </c>
      <c r="D66" s="1715">
        <f>SUM(D10:D65)</f>
        <v>122</v>
      </c>
      <c r="E66" s="1777">
        <f>SUM(E10:E65)</f>
        <v>49777</v>
      </c>
      <c r="F66" s="1777" t="s">
        <v>1020</v>
      </c>
      <c r="G66" s="1780">
        <f>SUM(G10:G65)</f>
        <v>1129</v>
      </c>
      <c r="H66" s="1778">
        <f>E66/C66</f>
        <v>38.556932610379548</v>
      </c>
      <c r="I66" s="1779">
        <f>(122+1129)/9220</f>
        <v>0.13568329718004338</v>
      </c>
      <c r="M66">
        <f>9472/1499</f>
        <v>6.3188792528352238</v>
      </c>
    </row>
    <row r="67" spans="1:13">
      <c r="A67" s="2175" t="s">
        <v>1022</v>
      </c>
      <c r="B67" s="2175"/>
      <c r="C67" s="2175"/>
      <c r="D67" s="2175"/>
      <c r="E67" s="2175"/>
      <c r="F67" s="607"/>
      <c r="G67" s="542"/>
      <c r="H67" s="542"/>
      <c r="I67" s="542"/>
    </row>
    <row r="68" spans="1:13">
      <c r="A68" s="523" t="s">
        <v>1021</v>
      </c>
      <c r="B68" s="523"/>
      <c r="C68" s="523"/>
      <c r="D68" s="523"/>
      <c r="E68" s="1228"/>
      <c r="F68" s="523"/>
      <c r="G68" s="568"/>
      <c r="H68" s="523"/>
      <c r="I68" s="523"/>
      <c r="M68">
        <f>9220/1282</f>
        <v>7.1918876755070205</v>
      </c>
    </row>
    <row r="69" spans="1:13">
      <c r="A69" s="523" t="s">
        <v>954</v>
      </c>
      <c r="B69" s="523"/>
      <c r="C69" s="523"/>
      <c r="D69" s="523"/>
      <c r="E69" s="1228"/>
      <c r="F69" s="523"/>
      <c r="G69" s="523"/>
      <c r="H69" s="523"/>
      <c r="I69" s="523"/>
    </row>
    <row r="70" spans="1:13">
      <c r="A70" s="523"/>
      <c r="B70" s="523"/>
      <c r="C70" s="523"/>
      <c r="D70" s="523"/>
      <c r="E70" s="1228"/>
      <c r="F70" s="523"/>
      <c r="G70" s="523"/>
      <c r="H70" s="523"/>
      <c r="I70" s="523"/>
    </row>
  </sheetData>
  <mergeCells count="11">
    <mergeCell ref="A67:E67"/>
    <mergeCell ref="A4:I4"/>
    <mergeCell ref="A5:I5"/>
    <mergeCell ref="A6:I6"/>
    <mergeCell ref="C8:C9"/>
    <mergeCell ref="D8:D9"/>
    <mergeCell ref="E8:E9"/>
    <mergeCell ref="F8:F9"/>
    <mergeCell ref="G8:G9"/>
    <mergeCell ref="H8:H9"/>
    <mergeCell ref="I8:I9"/>
  </mergeCells>
  <printOptions horizontalCentered="1"/>
  <pageMargins left="0.39370078740157483" right="0.39370078740157483" top="0.39370078740157483" bottom="0.19685039370078741" header="0.31496062992125984" footer="0"/>
  <pageSetup paperSize="9" scale="70" orientation="portrait" r:id="rId1"/>
  <headerFooter alignWithMargins="0">
    <oddHeader>&amp;LDGRH A1-1</oddHeader>
    <oddFooter>&amp;CPage 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codeName="Feuil47" enableFormatConditionsCalculation="0">
    <tabColor rgb="FF00B050"/>
  </sheetPr>
  <dimension ref="A1:I796"/>
  <sheetViews>
    <sheetView topLeftCell="A5" zoomScale="75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9">
      <c r="B17" s="273"/>
      <c r="C17" s="273"/>
      <c r="D17" s="273"/>
    </row>
    <row r="18" spans="1:9">
      <c r="B18" s="273"/>
      <c r="C18" s="273"/>
      <c r="D18" s="273"/>
    </row>
    <row r="19" spans="1:9">
      <c r="B19" s="273"/>
      <c r="C19" s="273"/>
      <c r="D19" s="273"/>
    </row>
    <row r="20" spans="1:9">
      <c r="B20" s="273"/>
      <c r="C20" s="273"/>
      <c r="D20" s="273"/>
    </row>
    <row r="21" spans="1:9">
      <c r="B21" s="273"/>
      <c r="C21" s="273"/>
      <c r="D21" s="273"/>
    </row>
    <row r="22" spans="1:9">
      <c r="B22" s="273"/>
      <c r="C22" s="273"/>
      <c r="D22" s="273"/>
    </row>
    <row r="23" spans="1:9" ht="13.8" thickBot="1">
      <c r="B23" s="273"/>
      <c r="C23" s="273"/>
      <c r="D23" s="273"/>
    </row>
    <row r="24" spans="1:9" ht="20.25" customHeight="1" thickTop="1">
      <c r="B24" s="1993" t="s">
        <v>549</v>
      </c>
      <c r="C24" s="1994"/>
      <c r="D24" s="1994"/>
      <c r="E24" s="1994"/>
      <c r="F24" s="1994"/>
      <c r="G24" s="1994"/>
      <c r="H24" s="1994"/>
      <c r="I24" s="2124"/>
    </row>
    <row r="25" spans="1:9" ht="19.5" customHeight="1" thickBot="1">
      <c r="B25" s="2125" t="s">
        <v>548</v>
      </c>
      <c r="C25" s="2126"/>
      <c r="D25" s="2126"/>
      <c r="E25" s="2126"/>
      <c r="F25" s="2126"/>
      <c r="G25" s="2126"/>
      <c r="H25" s="2126"/>
      <c r="I25" s="2127"/>
    </row>
    <row r="26" spans="1:9" ht="12.75" customHeight="1" thickTop="1">
      <c r="B26" s="319"/>
      <c r="C26" s="1883"/>
      <c r="D26" s="1883"/>
      <c r="E26" s="1883"/>
      <c r="F26" s="1883"/>
      <c r="G26" s="1883"/>
      <c r="H26" s="1883"/>
      <c r="I26" s="320"/>
    </row>
    <row r="27" spans="1:9" ht="12.75" customHeight="1">
      <c r="B27" s="274"/>
      <c r="C27" s="274"/>
      <c r="D27" s="274"/>
    </row>
    <row r="28" spans="1:9">
      <c r="B28" s="274"/>
      <c r="C28" s="274"/>
      <c r="D28" s="274"/>
    </row>
    <row r="29" spans="1:9">
      <c r="A29" s="1919"/>
      <c r="B29" s="273"/>
      <c r="C29" s="273"/>
      <c r="D29" s="273"/>
      <c r="E29" s="1919"/>
      <c r="F29" s="1919"/>
    </row>
    <row r="30" spans="1:9" ht="19.5" customHeight="1">
      <c r="B30" s="2186" t="str">
        <f>'fiche technique'!A7</f>
        <v>Campagne 2014  - Session "synchronisée" (ANTEE)</v>
      </c>
      <c r="C30" s="2186"/>
      <c r="D30" s="2186"/>
      <c r="E30" s="2186"/>
      <c r="F30" s="2186"/>
      <c r="G30" s="2186"/>
      <c r="H30" s="2186"/>
      <c r="I30" s="2186"/>
    </row>
    <row r="31" spans="1:9">
      <c r="B31" s="273"/>
      <c r="C31" s="273"/>
      <c r="D31" s="273"/>
    </row>
    <row r="32" spans="1:9">
      <c r="B32" s="273"/>
      <c r="C32" s="273"/>
      <c r="D32" s="273"/>
    </row>
    <row r="33" spans="2:9" ht="12.75" customHeight="1">
      <c r="B33" s="273"/>
      <c r="C33" s="273"/>
      <c r="D33" s="273"/>
      <c r="E33" s="276"/>
    </row>
    <row r="34" spans="2:9">
      <c r="C34" s="661" t="s">
        <v>356</v>
      </c>
      <c r="D34" s="273"/>
    </row>
    <row r="35" spans="2:9">
      <c r="C35" s="660" t="s">
        <v>357</v>
      </c>
      <c r="D35" s="279"/>
      <c r="E35" s="280"/>
      <c r="F35" s="280"/>
      <c r="G35" s="280"/>
      <c r="H35" s="280"/>
    </row>
    <row r="36" spans="2:9">
      <c r="C36" s="660" t="s">
        <v>358</v>
      </c>
      <c r="D36" s="279"/>
      <c r="E36" s="280"/>
      <c r="F36" s="280"/>
      <c r="G36" s="280"/>
      <c r="H36" s="280"/>
    </row>
    <row r="37" spans="2:9">
      <c r="C37" s="662" t="s">
        <v>359</v>
      </c>
      <c r="D37" s="321"/>
      <c r="E37" s="322"/>
      <c r="F37" s="322"/>
      <c r="G37" s="322"/>
      <c r="H37" s="322"/>
    </row>
    <row r="38" spans="2:9">
      <c r="C38" s="278"/>
      <c r="D38" s="321"/>
      <c r="E38" s="322"/>
      <c r="F38" s="322"/>
      <c r="G38" s="322"/>
      <c r="H38" s="322"/>
    </row>
    <row r="39" spans="2:9" ht="12.75" customHeight="1">
      <c r="B39" s="273"/>
      <c r="C39" s="273"/>
      <c r="D39" s="273"/>
    </row>
    <row r="40" spans="2:9" ht="12.75" customHeight="1">
      <c r="B40" s="273"/>
      <c r="C40" s="273"/>
      <c r="D40" s="273"/>
    </row>
    <row r="41" spans="2:9" ht="12.75" customHeight="1">
      <c r="B41" s="273"/>
      <c r="C41" s="273"/>
      <c r="D41" s="273"/>
    </row>
    <row r="42" spans="2:9">
      <c r="B42" s="273"/>
      <c r="C42" s="273"/>
      <c r="D42" s="273"/>
    </row>
    <row r="43" spans="2:9">
      <c r="B43" s="273"/>
      <c r="C43" s="273"/>
      <c r="D43" s="273"/>
    </row>
    <row r="44" spans="2:9">
      <c r="B44" s="273"/>
      <c r="C44" s="273"/>
      <c r="D44" s="273"/>
    </row>
    <row r="45" spans="2:9">
      <c r="B45" s="273"/>
      <c r="C45" s="273"/>
      <c r="D45" s="273"/>
    </row>
    <row r="46" spans="2:9">
      <c r="B46" s="273"/>
      <c r="C46" s="273"/>
      <c r="D46" s="273"/>
      <c r="F46" s="2001"/>
      <c r="G46" s="2001"/>
      <c r="H46" s="2001"/>
    </row>
    <row r="47" spans="2:9" ht="18.75" customHeight="1">
      <c r="B47" s="1992" t="s">
        <v>324</v>
      </c>
      <c r="C47" s="1992"/>
      <c r="D47" s="1992"/>
      <c r="E47" s="1992"/>
      <c r="F47" s="1992"/>
      <c r="G47" s="1992"/>
      <c r="H47" s="1992"/>
      <c r="I47" s="1992"/>
    </row>
    <row r="48" spans="2:9" ht="18.75" customHeight="1">
      <c r="B48" s="2002" t="s">
        <v>325</v>
      </c>
      <c r="C48" s="2002"/>
      <c r="D48" s="2002"/>
      <c r="E48" s="2002"/>
      <c r="F48" s="2002"/>
      <c r="G48" s="2002"/>
      <c r="H48" s="2002"/>
      <c r="I48" s="2002"/>
    </row>
    <row r="49" spans="2:9" ht="18.75" customHeight="1">
      <c r="B49" s="1992" t="s">
        <v>326</v>
      </c>
      <c r="C49" s="1992"/>
      <c r="D49" s="1992"/>
      <c r="E49" s="1992"/>
      <c r="F49" s="1992"/>
      <c r="G49" s="1992"/>
      <c r="H49" s="1992"/>
      <c r="I49" s="1992"/>
    </row>
    <row r="50" spans="2:9" ht="18.75" customHeight="1">
      <c r="B50" s="1991" t="s">
        <v>958</v>
      </c>
      <c r="C50" s="1992"/>
      <c r="D50" s="1992"/>
      <c r="E50" s="1992"/>
      <c r="F50" s="1992"/>
      <c r="G50" s="1992"/>
      <c r="H50" s="1992"/>
      <c r="I50" s="1992"/>
    </row>
    <row r="51" spans="2:9" ht="18.75" customHeight="1">
      <c r="B51" s="2093" t="s">
        <v>327</v>
      </c>
      <c r="C51" s="2093"/>
      <c r="D51" s="2093"/>
      <c r="E51" s="2093"/>
      <c r="F51" s="2093"/>
      <c r="G51" s="2093"/>
      <c r="H51" s="2093"/>
      <c r="I51" s="2093"/>
    </row>
    <row r="52" spans="2:9">
      <c r="B52" s="273"/>
      <c r="C52" s="273"/>
      <c r="D52" s="273"/>
    </row>
    <row r="53" spans="2:9">
      <c r="B53" s="273"/>
      <c r="C53" s="281"/>
      <c r="D53" s="281"/>
    </row>
    <row r="54" spans="2:9">
      <c r="B54" s="282" t="s">
        <v>328</v>
      </c>
      <c r="C54" s="281"/>
      <c r="D54" s="281"/>
      <c r="I54" s="283" t="str">
        <f>'fiche technique'!A12</f>
        <v>décembre 2014</v>
      </c>
    </row>
    <row r="55" spans="2:9">
      <c r="B55" s="273"/>
      <c r="C55" s="281"/>
      <c r="D55" s="281"/>
    </row>
    <row r="56" spans="2:9">
      <c r="B56" s="281"/>
      <c r="C56" s="281"/>
      <c r="D56" s="281"/>
    </row>
    <row r="57" spans="2:9">
      <c r="B57" s="281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  <row r="795" spans="2:4">
      <c r="B795" s="281"/>
      <c r="C795" s="281"/>
      <c r="D795" s="281"/>
    </row>
    <row r="796" spans="2:4">
      <c r="B796" s="281"/>
      <c r="C796" s="281"/>
      <c r="D796" s="281"/>
    </row>
  </sheetData>
  <mergeCells count="9">
    <mergeCell ref="B24:I24"/>
    <mergeCell ref="B25:I25"/>
    <mergeCell ref="B30:I30"/>
    <mergeCell ref="B51:I51"/>
    <mergeCell ref="F46:H46"/>
    <mergeCell ref="B47:I47"/>
    <mergeCell ref="B48:I48"/>
    <mergeCell ref="B49:I49"/>
    <mergeCell ref="B50:I50"/>
  </mergeCells>
  <phoneticPr fontId="30" type="noConversion"/>
  <printOptions horizontalCentered="1"/>
  <pageMargins left="0.59055118110236227" right="0.39370078740157483" top="0.78740157480314965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Feuil14" enableFormatConditionsCalculation="0">
    <tabColor rgb="FFFFFF66"/>
  </sheetPr>
  <dimension ref="A1:BS38"/>
  <sheetViews>
    <sheetView showZeros="0" zoomScale="75" zoomScaleNormal="75" zoomScalePageLayoutView="75" workbookViewId="0">
      <selection activeCell="L18" sqref="L18"/>
    </sheetView>
  </sheetViews>
  <sheetFormatPr baseColWidth="10" defaultColWidth="11.44140625" defaultRowHeight="13.2"/>
  <cols>
    <col min="1" max="1" width="64.109375" style="24" customWidth="1"/>
    <col min="2" max="5" width="14.109375" style="27" customWidth="1"/>
    <col min="6" max="6" width="14.109375" style="30" customWidth="1"/>
    <col min="7" max="8" width="14.109375" style="27" customWidth="1"/>
    <col min="9" max="9" width="23.44140625" style="27" customWidth="1"/>
    <col min="10" max="10" width="14.109375" style="27" customWidth="1"/>
    <col min="11" max="16384" width="11.44140625" style="24"/>
  </cols>
  <sheetData>
    <row r="1" spans="1:71" s="2" customFormat="1" ht="15" customHeight="1">
      <c r="A1" s="169"/>
      <c r="B1" s="17"/>
      <c r="C1" s="17"/>
      <c r="D1" s="17"/>
      <c r="E1" s="17"/>
      <c r="J1" s="1162"/>
    </row>
    <row r="2" spans="1:71" s="26" customFormat="1" ht="24" customHeight="1">
      <c r="A2" s="2187" t="str">
        <f>'fiche technique'!A6</f>
        <v>Bilan de la campagne 2014 de recrutement et d'affectation des maîtres de conférences et des professeurs des universités (session synchronisée - ANTEE)</v>
      </c>
      <c r="B2" s="2187"/>
      <c r="C2" s="2187"/>
      <c r="D2" s="2187"/>
      <c r="E2" s="2187"/>
      <c r="F2" s="2187"/>
      <c r="G2" s="2187"/>
      <c r="H2" s="2187"/>
      <c r="I2" s="2187"/>
      <c r="J2" s="2187"/>
    </row>
    <row r="3" spans="1:71" s="26" customFormat="1" ht="15" customHeight="1">
      <c r="A3" s="19"/>
      <c r="B3" s="19"/>
      <c r="C3" s="51"/>
      <c r="D3" s="19"/>
      <c r="E3" s="19"/>
      <c r="F3" s="19"/>
      <c r="G3" s="18"/>
      <c r="H3" s="18"/>
      <c r="I3" s="18"/>
      <c r="J3" s="18"/>
    </row>
    <row r="4" spans="1:71" s="26" customFormat="1" ht="19.5" customHeight="1">
      <c r="A4" s="2084" t="s">
        <v>140</v>
      </c>
      <c r="B4" s="2084"/>
      <c r="C4" s="2084"/>
      <c r="D4" s="2084"/>
      <c r="E4" s="2084"/>
      <c r="F4" s="2084"/>
      <c r="G4" s="2084"/>
      <c r="H4" s="2084"/>
      <c r="I4" s="2084"/>
      <c r="J4" s="2084"/>
    </row>
    <row r="5" spans="1:71" s="26" customFormat="1" ht="19.5" customHeight="1">
      <c r="A5" s="2188" t="s">
        <v>542</v>
      </c>
      <c r="B5" s="2188"/>
      <c r="C5" s="2188"/>
      <c r="D5" s="2188"/>
      <c r="E5" s="2188"/>
      <c r="F5" s="2188"/>
      <c r="G5" s="2188"/>
      <c r="H5" s="2188"/>
      <c r="I5" s="2188"/>
      <c r="J5" s="2188"/>
    </row>
    <row r="6" spans="1:71" s="26" customFormat="1" ht="14.25" customHeight="1">
      <c r="A6" s="603"/>
      <c r="B6" s="603"/>
      <c r="C6" s="603"/>
      <c r="D6" s="603"/>
      <c r="E6" s="603"/>
      <c r="F6" s="603"/>
      <c r="G6" s="603"/>
      <c r="H6" s="603"/>
      <c r="I6" s="603"/>
      <c r="J6" s="20"/>
    </row>
    <row r="7" spans="1:71" s="2" customFormat="1" ht="15" customHeight="1">
      <c r="B7" s="17"/>
      <c r="C7" s="17"/>
      <c r="D7" s="17"/>
      <c r="E7" s="17"/>
    </row>
    <row r="8" spans="1:71" s="7" customFormat="1" ht="38.25" customHeight="1" thickBot="1">
      <c r="B8" s="31"/>
      <c r="C8" s="52"/>
      <c r="D8" s="52"/>
      <c r="E8" s="31"/>
      <c r="F8" s="31"/>
      <c r="I8" s="1980"/>
      <c r="J8" s="1979"/>
    </row>
    <row r="9" spans="1:71" ht="90" customHeight="1" thickBot="1">
      <c r="A9" s="170"/>
      <c r="B9" s="149" t="s">
        <v>135</v>
      </c>
      <c r="C9" s="150" t="s">
        <v>136</v>
      </c>
      <c r="D9" s="150" t="s">
        <v>524</v>
      </c>
      <c r="E9" s="150" t="s">
        <v>525</v>
      </c>
      <c r="F9" s="150" t="s">
        <v>225</v>
      </c>
      <c r="G9" s="150" t="s">
        <v>526</v>
      </c>
      <c r="H9" s="150" t="s">
        <v>527</v>
      </c>
      <c r="I9" s="482" t="s">
        <v>528</v>
      </c>
      <c r="J9" s="151" t="s">
        <v>137</v>
      </c>
    </row>
    <row r="10" spans="1:71" ht="24" customHeight="1">
      <c r="A10" s="144" t="s">
        <v>143</v>
      </c>
      <c r="B10" s="483"/>
      <c r="C10" s="483"/>
      <c r="D10" s="483"/>
      <c r="E10" s="484"/>
      <c r="F10" s="483"/>
      <c r="G10" s="483"/>
      <c r="H10" s="483"/>
      <c r="I10" s="484"/>
      <c r="J10" s="993"/>
    </row>
    <row r="11" spans="1:71" ht="24" customHeight="1">
      <c r="A11" s="171" t="s">
        <v>133</v>
      </c>
      <c r="B11" s="485"/>
      <c r="C11" s="485"/>
      <c r="D11" s="485">
        <v>17</v>
      </c>
      <c r="E11" s="485" t="s">
        <v>530</v>
      </c>
      <c r="F11" s="485">
        <v>0</v>
      </c>
      <c r="G11" s="485">
        <v>4</v>
      </c>
      <c r="H11" s="485">
        <v>6</v>
      </c>
      <c r="I11" s="1222">
        <v>13</v>
      </c>
      <c r="J11" s="994">
        <f>SUM(B11:I11)</f>
        <v>40</v>
      </c>
      <c r="K11" s="28"/>
      <c r="L11" s="28"/>
      <c r="M11" s="28"/>
      <c r="N11" s="28"/>
      <c r="O11" s="28"/>
      <c r="P11" s="28"/>
      <c r="Q11" s="28"/>
      <c r="R11" s="1760">
        <f>24/89</f>
        <v>0.2696629213483146</v>
      </c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</row>
    <row r="12" spans="1:71" ht="24" customHeight="1">
      <c r="A12" s="171" t="s">
        <v>134</v>
      </c>
      <c r="B12" s="485"/>
      <c r="C12" s="485"/>
      <c r="D12" s="485"/>
      <c r="E12" s="485"/>
      <c r="F12" s="485"/>
      <c r="G12" s="485"/>
      <c r="H12" s="485"/>
      <c r="I12" s="1222"/>
      <c r="J12" s="994">
        <f>SUM(B12:I12)</f>
        <v>0</v>
      </c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</row>
    <row r="13" spans="1:71" ht="24" customHeight="1">
      <c r="A13" s="1551"/>
      <c r="B13" s="486"/>
      <c r="C13" s="486"/>
      <c r="D13" s="486"/>
      <c r="E13" s="486"/>
      <c r="F13" s="486"/>
      <c r="G13" s="486"/>
      <c r="H13" s="486"/>
      <c r="I13" s="1224"/>
      <c r="J13" s="995"/>
      <c r="K13" s="28"/>
      <c r="L13" s="28"/>
      <c r="M13" s="28"/>
      <c r="N13" s="28"/>
      <c r="O13" s="1760">
        <f>118/2120</f>
        <v>5.5660377358490568E-2</v>
      </c>
      <c r="P13" s="28"/>
      <c r="Q13" s="1760">
        <f>28/89</f>
        <v>0.3146067415730337</v>
      </c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</row>
    <row r="14" spans="1:71" ht="24" customHeight="1">
      <c r="A14" s="682" t="s">
        <v>161</v>
      </c>
      <c r="B14" s="991">
        <f t="shared" ref="B14:I14" si="0">SUM(B11:B12)</f>
        <v>0</v>
      </c>
      <c r="C14" s="991">
        <f t="shared" si="0"/>
        <v>0</v>
      </c>
      <c r="D14" s="991">
        <f t="shared" si="0"/>
        <v>17</v>
      </c>
      <c r="E14" s="991">
        <f t="shared" si="0"/>
        <v>0</v>
      </c>
      <c r="F14" s="991">
        <f t="shared" si="0"/>
        <v>0</v>
      </c>
      <c r="G14" s="991">
        <f t="shared" si="0"/>
        <v>4</v>
      </c>
      <c r="H14" s="991">
        <f t="shared" si="0"/>
        <v>6</v>
      </c>
      <c r="I14" s="1223">
        <f t="shared" si="0"/>
        <v>13</v>
      </c>
      <c r="J14" s="992">
        <f>SUM(B14:I14)</f>
        <v>40</v>
      </c>
      <c r="K14" s="28"/>
      <c r="L14" s="28"/>
      <c r="M14" s="28"/>
      <c r="N14" s="28">
        <f>114-25</f>
        <v>89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</row>
    <row r="15" spans="1:71" ht="24" customHeight="1">
      <c r="A15" s="146" t="s">
        <v>162</v>
      </c>
      <c r="B15" s="486"/>
      <c r="C15" s="486"/>
      <c r="D15" s="486"/>
      <c r="E15" s="486"/>
      <c r="F15" s="486"/>
      <c r="G15" s="486"/>
      <c r="H15" s="486"/>
      <c r="I15" s="1224"/>
      <c r="J15" s="996">
        <f>SUM(B15:I15)</f>
        <v>0</v>
      </c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</row>
    <row r="16" spans="1:71" s="29" customFormat="1" ht="24" customHeight="1">
      <c r="A16" s="154" t="s">
        <v>978</v>
      </c>
      <c r="B16" s="485"/>
      <c r="C16" s="485">
        <v>3</v>
      </c>
      <c r="D16" s="485">
        <v>30</v>
      </c>
      <c r="E16" s="485"/>
      <c r="F16" s="485">
        <v>1</v>
      </c>
      <c r="G16" s="485">
        <v>2</v>
      </c>
      <c r="H16" s="485">
        <v>1</v>
      </c>
      <c r="I16" s="1222">
        <v>11</v>
      </c>
      <c r="J16" s="994">
        <f>SUM(B16:I16)</f>
        <v>48</v>
      </c>
    </row>
    <row r="17" spans="1:19" ht="24" customHeight="1">
      <c r="A17" s="155" t="s">
        <v>980</v>
      </c>
      <c r="B17" s="485"/>
      <c r="C17" s="485">
        <v>1</v>
      </c>
      <c r="D17" s="485">
        <v>0</v>
      </c>
      <c r="E17" s="485"/>
      <c r="F17" s="485"/>
      <c r="G17" s="485"/>
      <c r="H17" s="485">
        <v>0</v>
      </c>
      <c r="I17" s="1222"/>
      <c r="J17" s="994">
        <v>1</v>
      </c>
      <c r="M17" s="1752">
        <f>6/89</f>
        <v>6.741573033707865E-2</v>
      </c>
      <c r="O17" s="1752">
        <f>53/89</f>
        <v>0.5955056179775281</v>
      </c>
      <c r="S17" s="1752">
        <f>4/89</f>
        <v>4.49438202247191E-2</v>
      </c>
    </row>
    <row r="18" spans="1:19" ht="24" customHeight="1">
      <c r="A18" s="147" t="s">
        <v>529</v>
      </c>
      <c r="B18" s="486"/>
      <c r="C18" s="486">
        <v>17</v>
      </c>
      <c r="D18" s="486">
        <v>7</v>
      </c>
      <c r="E18" s="486"/>
      <c r="F18" s="486"/>
      <c r="G18" s="486"/>
      <c r="H18" s="486">
        <v>0</v>
      </c>
      <c r="I18" s="1224">
        <v>1</v>
      </c>
      <c r="J18" s="995">
        <f>SUM(B18:I18)</f>
        <v>25</v>
      </c>
    </row>
    <row r="19" spans="1:19" ht="24" customHeight="1">
      <c r="A19" s="682" t="s">
        <v>163</v>
      </c>
      <c r="B19" s="991">
        <f t="shared" ref="B19:I19" si="1">SUM(B16:B18)</f>
        <v>0</v>
      </c>
      <c r="C19" s="991">
        <f t="shared" si="1"/>
        <v>21</v>
      </c>
      <c r="D19" s="991">
        <f t="shared" si="1"/>
        <v>37</v>
      </c>
      <c r="E19" s="991">
        <f t="shared" si="1"/>
        <v>0</v>
      </c>
      <c r="F19" s="991">
        <f t="shared" si="1"/>
        <v>1</v>
      </c>
      <c r="G19" s="991">
        <f t="shared" si="1"/>
        <v>2</v>
      </c>
      <c r="H19" s="991">
        <f t="shared" si="1"/>
        <v>1</v>
      </c>
      <c r="I19" s="1223">
        <f t="shared" si="1"/>
        <v>12</v>
      </c>
      <c r="J19" s="992">
        <f>SUM(J15:J18)</f>
        <v>74</v>
      </c>
    </row>
    <row r="20" spans="1:19" ht="24" customHeight="1" thickBot="1">
      <c r="A20" s="156" t="s">
        <v>113</v>
      </c>
      <c r="B20" s="991">
        <f t="shared" ref="B20:J20" si="2">B14+B19</f>
        <v>0</v>
      </c>
      <c r="C20" s="991">
        <f t="shared" si="2"/>
        <v>21</v>
      </c>
      <c r="D20" s="991">
        <f t="shared" si="2"/>
        <v>54</v>
      </c>
      <c r="E20" s="991">
        <f t="shared" si="2"/>
        <v>0</v>
      </c>
      <c r="F20" s="991">
        <f t="shared" si="2"/>
        <v>1</v>
      </c>
      <c r="G20" s="991">
        <f t="shared" si="2"/>
        <v>6</v>
      </c>
      <c r="H20" s="991">
        <f t="shared" si="2"/>
        <v>7</v>
      </c>
      <c r="I20" s="1223">
        <f t="shared" si="2"/>
        <v>25</v>
      </c>
      <c r="J20" s="997">
        <f t="shared" si="2"/>
        <v>114</v>
      </c>
      <c r="O20" s="1752">
        <f>53/1838</f>
        <v>2.8835690968443961E-2</v>
      </c>
      <c r="P20" s="1752">
        <f>28/1838</f>
        <v>1.5233949945593036E-2</v>
      </c>
    </row>
    <row r="21" spans="1:19" ht="24" customHeight="1" thickBot="1">
      <c r="A21" s="487"/>
      <c r="B21" s="998">
        <f t="shared" ref="B21:I21" si="3">B20/$J$20</f>
        <v>0</v>
      </c>
      <c r="C21" s="999">
        <f t="shared" si="3"/>
        <v>0.18421052631578946</v>
      </c>
      <c r="D21" s="999">
        <f t="shared" si="3"/>
        <v>0.47368421052631576</v>
      </c>
      <c r="E21" s="999">
        <f t="shared" si="3"/>
        <v>0</v>
      </c>
      <c r="F21" s="999">
        <f t="shared" si="3"/>
        <v>8.771929824561403E-3</v>
      </c>
      <c r="G21" s="999">
        <f t="shared" si="3"/>
        <v>5.2631578947368418E-2</v>
      </c>
      <c r="H21" s="999">
        <f t="shared" si="3"/>
        <v>6.1403508771929821E-2</v>
      </c>
      <c r="I21" s="999">
        <f t="shared" si="3"/>
        <v>0.21929824561403508</v>
      </c>
      <c r="J21" s="488"/>
      <c r="S21" s="1752">
        <f>21/114</f>
        <v>0.18421052631578946</v>
      </c>
    </row>
    <row r="22" spans="1:19" ht="24" customHeight="1">
      <c r="A22" s="459" t="str">
        <f>'fiche technique'!A9</f>
        <v>Source: GALAXIE (ANTARES-ANTEE &amp; FIDIS), DGRH A1-1 &amp; DGRH A2, juin 2014</v>
      </c>
      <c r="B22" s="659"/>
      <c r="C22" s="659"/>
      <c r="D22" s="659"/>
      <c r="E22" s="659"/>
      <c r="F22" s="659"/>
      <c r="G22" s="659"/>
      <c r="H22" s="659"/>
      <c r="I22" s="659"/>
      <c r="J22" s="659"/>
      <c r="K22" s="28"/>
      <c r="O22" s="24">
        <f>37/125</f>
        <v>0.29599999999999999</v>
      </c>
      <c r="Q22" s="1794">
        <f>47/89</f>
        <v>0.5280898876404494</v>
      </c>
    </row>
    <row r="23" spans="1:19">
      <c r="A23" s="2189" t="s">
        <v>1023</v>
      </c>
      <c r="B23" s="2189"/>
      <c r="C23" s="2189"/>
      <c r="D23" s="2189"/>
    </row>
    <row r="29" spans="1:19">
      <c r="A29" s="21"/>
      <c r="E29" s="21"/>
      <c r="F29" s="21"/>
    </row>
    <row r="31" spans="1:19">
      <c r="M31" s="1752">
        <f>63/151</f>
        <v>0.41721854304635764</v>
      </c>
    </row>
    <row r="38" spans="3:12" ht="89.25" customHeight="1">
      <c r="C38" s="1181"/>
      <c r="D38" s="1181"/>
      <c r="E38" s="1181"/>
      <c r="F38" s="1182"/>
      <c r="G38" s="1181"/>
      <c r="H38" s="1181"/>
      <c r="I38" s="1181"/>
      <c r="J38" s="1181"/>
      <c r="K38" s="1183"/>
      <c r="L38" s="1183"/>
    </row>
  </sheetData>
  <mergeCells count="4">
    <mergeCell ref="A2:J2"/>
    <mergeCell ref="A4:J4"/>
    <mergeCell ref="A5:J5"/>
    <mergeCell ref="A23:D23"/>
  </mergeCells>
  <phoneticPr fontId="0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70" orientation="landscape" r:id="rId1"/>
  <headerFooter alignWithMargins="0">
    <oddHeader>&amp;LDGRH A1-1</oddHeader>
    <oddFooter>&amp;CPage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66"/>
  </sheetPr>
  <dimension ref="A1:V33"/>
  <sheetViews>
    <sheetView zoomScale="85" zoomScaleNormal="85" workbookViewId="0">
      <selection activeCell="L18" sqref="L18"/>
    </sheetView>
  </sheetViews>
  <sheetFormatPr baseColWidth="10" defaultRowHeight="13.2"/>
  <cols>
    <col min="1" max="1" width="7.6640625" style="1263" customWidth="1"/>
    <col min="2" max="2" width="55.88671875" style="1263" customWidth="1"/>
    <col min="3" max="8" width="10.44140625" style="1263" customWidth="1"/>
    <col min="9" max="10" width="10.33203125" style="1263" customWidth="1"/>
    <col min="11" max="11" width="10.44140625" style="1263" customWidth="1"/>
    <col min="12" max="256" width="11.44140625" style="1263"/>
    <col min="257" max="257" width="6.6640625" style="1263" bestFit="1" customWidth="1"/>
    <col min="258" max="258" width="49.44140625" style="1263" bestFit="1" customWidth="1"/>
    <col min="259" max="259" width="9.88671875" style="1263" bestFit="1" customWidth="1"/>
    <col min="260" max="261" width="10.109375" style="1263" bestFit="1" customWidth="1"/>
    <col min="262" max="262" width="10" style="1263" bestFit="1" customWidth="1"/>
    <col min="263" max="263" width="9.33203125" style="1263" bestFit="1" customWidth="1"/>
    <col min="264" max="265" width="10.109375" style="1263" bestFit="1" customWidth="1"/>
    <col min="266" max="266" width="10" style="1263" bestFit="1" customWidth="1"/>
    <col min="267" max="267" width="8.44140625" style="1263" bestFit="1" customWidth="1"/>
    <col min="268" max="512" width="11.44140625" style="1263"/>
    <col min="513" max="513" width="6.6640625" style="1263" bestFit="1" customWidth="1"/>
    <col min="514" max="514" width="49.44140625" style="1263" bestFit="1" customWidth="1"/>
    <col min="515" max="515" width="9.88671875" style="1263" bestFit="1" customWidth="1"/>
    <col min="516" max="517" width="10.109375" style="1263" bestFit="1" customWidth="1"/>
    <col min="518" max="518" width="10" style="1263" bestFit="1" customWidth="1"/>
    <col min="519" max="519" width="9.33203125" style="1263" bestFit="1" customWidth="1"/>
    <col min="520" max="521" width="10.109375" style="1263" bestFit="1" customWidth="1"/>
    <col min="522" max="522" width="10" style="1263" bestFit="1" customWidth="1"/>
    <col min="523" max="523" width="8.44140625" style="1263" bestFit="1" customWidth="1"/>
    <col min="524" max="768" width="11.44140625" style="1263"/>
    <col min="769" max="769" width="6.6640625" style="1263" bestFit="1" customWidth="1"/>
    <col min="770" max="770" width="49.44140625" style="1263" bestFit="1" customWidth="1"/>
    <col min="771" max="771" width="9.88671875" style="1263" bestFit="1" customWidth="1"/>
    <col min="772" max="773" width="10.109375" style="1263" bestFit="1" customWidth="1"/>
    <col min="774" max="774" width="10" style="1263" bestFit="1" customWidth="1"/>
    <col min="775" max="775" width="9.33203125" style="1263" bestFit="1" customWidth="1"/>
    <col min="776" max="777" width="10.109375" style="1263" bestFit="1" customWidth="1"/>
    <col min="778" max="778" width="10" style="1263" bestFit="1" customWidth="1"/>
    <col min="779" max="779" width="8.44140625" style="1263" bestFit="1" customWidth="1"/>
    <col min="780" max="1024" width="11.44140625" style="1263"/>
    <col min="1025" max="1025" width="6.6640625" style="1263" bestFit="1" customWidth="1"/>
    <col min="1026" max="1026" width="49.44140625" style="1263" bestFit="1" customWidth="1"/>
    <col min="1027" max="1027" width="9.88671875" style="1263" bestFit="1" customWidth="1"/>
    <col min="1028" max="1029" width="10.109375" style="1263" bestFit="1" customWidth="1"/>
    <col min="1030" max="1030" width="10" style="1263" bestFit="1" customWidth="1"/>
    <col min="1031" max="1031" width="9.33203125" style="1263" bestFit="1" customWidth="1"/>
    <col min="1032" max="1033" width="10.109375" style="1263" bestFit="1" customWidth="1"/>
    <col min="1034" max="1034" width="10" style="1263" bestFit="1" customWidth="1"/>
    <col min="1035" max="1035" width="8.44140625" style="1263" bestFit="1" customWidth="1"/>
    <col min="1036" max="1280" width="11.44140625" style="1263"/>
    <col min="1281" max="1281" width="6.6640625" style="1263" bestFit="1" customWidth="1"/>
    <col min="1282" max="1282" width="49.44140625" style="1263" bestFit="1" customWidth="1"/>
    <col min="1283" max="1283" width="9.88671875" style="1263" bestFit="1" customWidth="1"/>
    <col min="1284" max="1285" width="10.109375" style="1263" bestFit="1" customWidth="1"/>
    <col min="1286" max="1286" width="10" style="1263" bestFit="1" customWidth="1"/>
    <col min="1287" max="1287" width="9.33203125" style="1263" bestFit="1" customWidth="1"/>
    <col min="1288" max="1289" width="10.109375" style="1263" bestFit="1" customWidth="1"/>
    <col min="1290" max="1290" width="10" style="1263" bestFit="1" customWidth="1"/>
    <col min="1291" max="1291" width="8.44140625" style="1263" bestFit="1" customWidth="1"/>
    <col min="1292" max="1536" width="11.44140625" style="1263"/>
    <col min="1537" max="1537" width="6.6640625" style="1263" bestFit="1" customWidth="1"/>
    <col min="1538" max="1538" width="49.44140625" style="1263" bestFit="1" customWidth="1"/>
    <col min="1539" max="1539" width="9.88671875" style="1263" bestFit="1" customWidth="1"/>
    <col min="1540" max="1541" width="10.109375" style="1263" bestFit="1" customWidth="1"/>
    <col min="1542" max="1542" width="10" style="1263" bestFit="1" customWidth="1"/>
    <col min="1543" max="1543" width="9.33203125" style="1263" bestFit="1" customWidth="1"/>
    <col min="1544" max="1545" width="10.109375" style="1263" bestFit="1" customWidth="1"/>
    <col min="1546" max="1546" width="10" style="1263" bestFit="1" customWidth="1"/>
    <col min="1547" max="1547" width="8.44140625" style="1263" bestFit="1" customWidth="1"/>
    <col min="1548" max="1792" width="11.44140625" style="1263"/>
    <col min="1793" max="1793" width="6.6640625" style="1263" bestFit="1" customWidth="1"/>
    <col min="1794" max="1794" width="49.44140625" style="1263" bestFit="1" customWidth="1"/>
    <col min="1795" max="1795" width="9.88671875" style="1263" bestFit="1" customWidth="1"/>
    <col min="1796" max="1797" width="10.109375" style="1263" bestFit="1" customWidth="1"/>
    <col min="1798" max="1798" width="10" style="1263" bestFit="1" customWidth="1"/>
    <col min="1799" max="1799" width="9.33203125" style="1263" bestFit="1" customWidth="1"/>
    <col min="1800" max="1801" width="10.109375" style="1263" bestFit="1" customWidth="1"/>
    <col min="1802" max="1802" width="10" style="1263" bestFit="1" customWidth="1"/>
    <col min="1803" max="1803" width="8.44140625" style="1263" bestFit="1" customWidth="1"/>
    <col min="1804" max="2048" width="11.44140625" style="1263"/>
    <col min="2049" max="2049" width="6.6640625" style="1263" bestFit="1" customWidth="1"/>
    <col min="2050" max="2050" width="49.44140625" style="1263" bestFit="1" customWidth="1"/>
    <col min="2051" max="2051" width="9.88671875" style="1263" bestFit="1" customWidth="1"/>
    <col min="2052" max="2053" width="10.109375" style="1263" bestFit="1" customWidth="1"/>
    <col min="2054" max="2054" width="10" style="1263" bestFit="1" customWidth="1"/>
    <col min="2055" max="2055" width="9.33203125" style="1263" bestFit="1" customWidth="1"/>
    <col min="2056" max="2057" width="10.109375" style="1263" bestFit="1" customWidth="1"/>
    <col min="2058" max="2058" width="10" style="1263" bestFit="1" customWidth="1"/>
    <col min="2059" max="2059" width="8.44140625" style="1263" bestFit="1" customWidth="1"/>
    <col min="2060" max="2304" width="11.44140625" style="1263"/>
    <col min="2305" max="2305" width="6.6640625" style="1263" bestFit="1" customWidth="1"/>
    <col min="2306" max="2306" width="49.44140625" style="1263" bestFit="1" customWidth="1"/>
    <col min="2307" max="2307" width="9.88671875" style="1263" bestFit="1" customWidth="1"/>
    <col min="2308" max="2309" width="10.109375" style="1263" bestFit="1" customWidth="1"/>
    <col min="2310" max="2310" width="10" style="1263" bestFit="1" customWidth="1"/>
    <col min="2311" max="2311" width="9.33203125" style="1263" bestFit="1" customWidth="1"/>
    <col min="2312" max="2313" width="10.109375" style="1263" bestFit="1" customWidth="1"/>
    <col min="2314" max="2314" width="10" style="1263" bestFit="1" customWidth="1"/>
    <col min="2315" max="2315" width="8.44140625" style="1263" bestFit="1" customWidth="1"/>
    <col min="2316" max="2560" width="11.44140625" style="1263"/>
    <col min="2561" max="2561" width="6.6640625" style="1263" bestFit="1" customWidth="1"/>
    <col min="2562" max="2562" width="49.44140625" style="1263" bestFit="1" customWidth="1"/>
    <col min="2563" max="2563" width="9.88671875" style="1263" bestFit="1" customWidth="1"/>
    <col min="2564" max="2565" width="10.109375" style="1263" bestFit="1" customWidth="1"/>
    <col min="2566" max="2566" width="10" style="1263" bestFit="1" customWidth="1"/>
    <col min="2567" max="2567" width="9.33203125" style="1263" bestFit="1" customWidth="1"/>
    <col min="2568" max="2569" width="10.109375" style="1263" bestFit="1" customWidth="1"/>
    <col min="2570" max="2570" width="10" style="1263" bestFit="1" customWidth="1"/>
    <col min="2571" max="2571" width="8.44140625" style="1263" bestFit="1" customWidth="1"/>
    <col min="2572" max="2816" width="11.44140625" style="1263"/>
    <col min="2817" max="2817" width="6.6640625" style="1263" bestFit="1" customWidth="1"/>
    <col min="2818" max="2818" width="49.44140625" style="1263" bestFit="1" customWidth="1"/>
    <col min="2819" max="2819" width="9.88671875" style="1263" bestFit="1" customWidth="1"/>
    <col min="2820" max="2821" width="10.109375" style="1263" bestFit="1" customWidth="1"/>
    <col min="2822" max="2822" width="10" style="1263" bestFit="1" customWidth="1"/>
    <col min="2823" max="2823" width="9.33203125" style="1263" bestFit="1" customWidth="1"/>
    <col min="2824" max="2825" width="10.109375" style="1263" bestFit="1" customWidth="1"/>
    <col min="2826" max="2826" width="10" style="1263" bestFit="1" customWidth="1"/>
    <col min="2827" max="2827" width="8.44140625" style="1263" bestFit="1" customWidth="1"/>
    <col min="2828" max="3072" width="11.44140625" style="1263"/>
    <col min="3073" max="3073" width="6.6640625" style="1263" bestFit="1" customWidth="1"/>
    <col min="3074" max="3074" width="49.44140625" style="1263" bestFit="1" customWidth="1"/>
    <col min="3075" max="3075" width="9.88671875" style="1263" bestFit="1" customWidth="1"/>
    <col min="3076" max="3077" width="10.109375" style="1263" bestFit="1" customWidth="1"/>
    <col min="3078" max="3078" width="10" style="1263" bestFit="1" customWidth="1"/>
    <col min="3079" max="3079" width="9.33203125" style="1263" bestFit="1" customWidth="1"/>
    <col min="3080" max="3081" width="10.109375" style="1263" bestFit="1" customWidth="1"/>
    <col min="3082" max="3082" width="10" style="1263" bestFit="1" customWidth="1"/>
    <col min="3083" max="3083" width="8.44140625" style="1263" bestFit="1" customWidth="1"/>
    <col min="3084" max="3328" width="11.44140625" style="1263"/>
    <col min="3329" max="3329" width="6.6640625" style="1263" bestFit="1" customWidth="1"/>
    <col min="3330" max="3330" width="49.44140625" style="1263" bestFit="1" customWidth="1"/>
    <col min="3331" max="3331" width="9.88671875" style="1263" bestFit="1" customWidth="1"/>
    <col min="3332" max="3333" width="10.109375" style="1263" bestFit="1" customWidth="1"/>
    <col min="3334" max="3334" width="10" style="1263" bestFit="1" customWidth="1"/>
    <col min="3335" max="3335" width="9.33203125" style="1263" bestFit="1" customWidth="1"/>
    <col min="3336" max="3337" width="10.109375" style="1263" bestFit="1" customWidth="1"/>
    <col min="3338" max="3338" width="10" style="1263" bestFit="1" customWidth="1"/>
    <col min="3339" max="3339" width="8.44140625" style="1263" bestFit="1" customWidth="1"/>
    <col min="3340" max="3584" width="11.44140625" style="1263"/>
    <col min="3585" max="3585" width="6.6640625" style="1263" bestFit="1" customWidth="1"/>
    <col min="3586" max="3586" width="49.44140625" style="1263" bestFit="1" customWidth="1"/>
    <col min="3587" max="3587" width="9.88671875" style="1263" bestFit="1" customWidth="1"/>
    <col min="3588" max="3589" width="10.109375" style="1263" bestFit="1" customWidth="1"/>
    <col min="3590" max="3590" width="10" style="1263" bestFit="1" customWidth="1"/>
    <col min="3591" max="3591" width="9.33203125" style="1263" bestFit="1" customWidth="1"/>
    <col min="3592" max="3593" width="10.109375" style="1263" bestFit="1" customWidth="1"/>
    <col min="3594" max="3594" width="10" style="1263" bestFit="1" customWidth="1"/>
    <col min="3595" max="3595" width="8.44140625" style="1263" bestFit="1" customWidth="1"/>
    <col min="3596" max="3840" width="11.44140625" style="1263"/>
    <col min="3841" max="3841" width="6.6640625" style="1263" bestFit="1" customWidth="1"/>
    <col min="3842" max="3842" width="49.44140625" style="1263" bestFit="1" customWidth="1"/>
    <col min="3843" max="3843" width="9.88671875" style="1263" bestFit="1" customWidth="1"/>
    <col min="3844" max="3845" width="10.109375" style="1263" bestFit="1" customWidth="1"/>
    <col min="3846" max="3846" width="10" style="1263" bestFit="1" customWidth="1"/>
    <col min="3847" max="3847" width="9.33203125" style="1263" bestFit="1" customWidth="1"/>
    <col min="3848" max="3849" width="10.109375" style="1263" bestFit="1" customWidth="1"/>
    <col min="3850" max="3850" width="10" style="1263" bestFit="1" customWidth="1"/>
    <col min="3851" max="3851" width="8.44140625" style="1263" bestFit="1" customWidth="1"/>
    <col min="3852" max="4096" width="11.44140625" style="1263"/>
    <col min="4097" max="4097" width="6.6640625" style="1263" bestFit="1" customWidth="1"/>
    <col min="4098" max="4098" width="49.44140625" style="1263" bestFit="1" customWidth="1"/>
    <col min="4099" max="4099" width="9.88671875" style="1263" bestFit="1" customWidth="1"/>
    <col min="4100" max="4101" width="10.109375" style="1263" bestFit="1" customWidth="1"/>
    <col min="4102" max="4102" width="10" style="1263" bestFit="1" customWidth="1"/>
    <col min="4103" max="4103" width="9.33203125" style="1263" bestFit="1" customWidth="1"/>
    <col min="4104" max="4105" width="10.109375" style="1263" bestFit="1" customWidth="1"/>
    <col min="4106" max="4106" width="10" style="1263" bestFit="1" customWidth="1"/>
    <col min="4107" max="4107" width="8.44140625" style="1263" bestFit="1" customWidth="1"/>
    <col min="4108" max="4352" width="11.44140625" style="1263"/>
    <col min="4353" max="4353" width="6.6640625" style="1263" bestFit="1" customWidth="1"/>
    <col min="4354" max="4354" width="49.44140625" style="1263" bestFit="1" customWidth="1"/>
    <col min="4355" max="4355" width="9.88671875" style="1263" bestFit="1" customWidth="1"/>
    <col min="4356" max="4357" width="10.109375" style="1263" bestFit="1" customWidth="1"/>
    <col min="4358" max="4358" width="10" style="1263" bestFit="1" customWidth="1"/>
    <col min="4359" max="4359" width="9.33203125" style="1263" bestFit="1" customWidth="1"/>
    <col min="4360" max="4361" width="10.109375" style="1263" bestFit="1" customWidth="1"/>
    <col min="4362" max="4362" width="10" style="1263" bestFit="1" customWidth="1"/>
    <col min="4363" max="4363" width="8.44140625" style="1263" bestFit="1" customWidth="1"/>
    <col min="4364" max="4608" width="11.44140625" style="1263"/>
    <col min="4609" max="4609" width="6.6640625" style="1263" bestFit="1" customWidth="1"/>
    <col min="4610" max="4610" width="49.44140625" style="1263" bestFit="1" customWidth="1"/>
    <col min="4611" max="4611" width="9.88671875" style="1263" bestFit="1" customWidth="1"/>
    <col min="4612" max="4613" width="10.109375" style="1263" bestFit="1" customWidth="1"/>
    <col min="4614" max="4614" width="10" style="1263" bestFit="1" customWidth="1"/>
    <col min="4615" max="4615" width="9.33203125" style="1263" bestFit="1" customWidth="1"/>
    <col min="4616" max="4617" width="10.109375" style="1263" bestFit="1" customWidth="1"/>
    <col min="4618" max="4618" width="10" style="1263" bestFit="1" customWidth="1"/>
    <col min="4619" max="4619" width="8.44140625" style="1263" bestFit="1" customWidth="1"/>
    <col min="4620" max="4864" width="11.44140625" style="1263"/>
    <col min="4865" max="4865" width="6.6640625" style="1263" bestFit="1" customWidth="1"/>
    <col min="4866" max="4866" width="49.44140625" style="1263" bestFit="1" customWidth="1"/>
    <col min="4867" max="4867" width="9.88671875" style="1263" bestFit="1" customWidth="1"/>
    <col min="4868" max="4869" width="10.109375" style="1263" bestFit="1" customWidth="1"/>
    <col min="4870" max="4870" width="10" style="1263" bestFit="1" customWidth="1"/>
    <col min="4871" max="4871" width="9.33203125" style="1263" bestFit="1" customWidth="1"/>
    <col min="4872" max="4873" width="10.109375" style="1263" bestFit="1" customWidth="1"/>
    <col min="4874" max="4874" width="10" style="1263" bestFit="1" customWidth="1"/>
    <col min="4875" max="4875" width="8.44140625" style="1263" bestFit="1" customWidth="1"/>
    <col min="4876" max="5120" width="11.44140625" style="1263"/>
    <col min="5121" max="5121" width="6.6640625" style="1263" bestFit="1" customWidth="1"/>
    <col min="5122" max="5122" width="49.44140625" style="1263" bestFit="1" customWidth="1"/>
    <col min="5123" max="5123" width="9.88671875" style="1263" bestFit="1" customWidth="1"/>
    <col min="5124" max="5125" width="10.109375" style="1263" bestFit="1" customWidth="1"/>
    <col min="5126" max="5126" width="10" style="1263" bestFit="1" customWidth="1"/>
    <col min="5127" max="5127" width="9.33203125" style="1263" bestFit="1" customWidth="1"/>
    <col min="5128" max="5129" width="10.109375" style="1263" bestFit="1" customWidth="1"/>
    <col min="5130" max="5130" width="10" style="1263" bestFit="1" customWidth="1"/>
    <col min="5131" max="5131" width="8.44140625" style="1263" bestFit="1" customWidth="1"/>
    <col min="5132" max="5376" width="11.44140625" style="1263"/>
    <col min="5377" max="5377" width="6.6640625" style="1263" bestFit="1" customWidth="1"/>
    <col min="5378" max="5378" width="49.44140625" style="1263" bestFit="1" customWidth="1"/>
    <col min="5379" max="5379" width="9.88671875" style="1263" bestFit="1" customWidth="1"/>
    <col min="5380" max="5381" width="10.109375" style="1263" bestFit="1" customWidth="1"/>
    <col min="5382" max="5382" width="10" style="1263" bestFit="1" customWidth="1"/>
    <col min="5383" max="5383" width="9.33203125" style="1263" bestFit="1" customWidth="1"/>
    <col min="5384" max="5385" width="10.109375" style="1263" bestFit="1" customWidth="1"/>
    <col min="5386" max="5386" width="10" style="1263" bestFit="1" customWidth="1"/>
    <col min="5387" max="5387" width="8.44140625" style="1263" bestFit="1" customWidth="1"/>
    <col min="5388" max="5632" width="11.44140625" style="1263"/>
    <col min="5633" max="5633" width="6.6640625" style="1263" bestFit="1" customWidth="1"/>
    <col min="5634" max="5634" width="49.44140625" style="1263" bestFit="1" customWidth="1"/>
    <col min="5635" max="5635" width="9.88671875" style="1263" bestFit="1" customWidth="1"/>
    <col min="5636" max="5637" width="10.109375" style="1263" bestFit="1" customWidth="1"/>
    <col min="5638" max="5638" width="10" style="1263" bestFit="1" customWidth="1"/>
    <col min="5639" max="5639" width="9.33203125" style="1263" bestFit="1" customWidth="1"/>
    <col min="5640" max="5641" width="10.109375" style="1263" bestFit="1" customWidth="1"/>
    <col min="5642" max="5642" width="10" style="1263" bestFit="1" customWidth="1"/>
    <col min="5643" max="5643" width="8.44140625" style="1263" bestFit="1" customWidth="1"/>
    <col min="5644" max="5888" width="11.44140625" style="1263"/>
    <col min="5889" max="5889" width="6.6640625" style="1263" bestFit="1" customWidth="1"/>
    <col min="5890" max="5890" width="49.44140625" style="1263" bestFit="1" customWidth="1"/>
    <col min="5891" max="5891" width="9.88671875" style="1263" bestFit="1" customWidth="1"/>
    <col min="5892" max="5893" width="10.109375" style="1263" bestFit="1" customWidth="1"/>
    <col min="5894" max="5894" width="10" style="1263" bestFit="1" customWidth="1"/>
    <col min="5895" max="5895" width="9.33203125" style="1263" bestFit="1" customWidth="1"/>
    <col min="5896" max="5897" width="10.109375" style="1263" bestFit="1" customWidth="1"/>
    <col min="5898" max="5898" width="10" style="1263" bestFit="1" customWidth="1"/>
    <col min="5899" max="5899" width="8.44140625" style="1263" bestFit="1" customWidth="1"/>
    <col min="5900" max="6144" width="11.44140625" style="1263"/>
    <col min="6145" max="6145" width="6.6640625" style="1263" bestFit="1" customWidth="1"/>
    <col min="6146" max="6146" width="49.44140625" style="1263" bestFit="1" customWidth="1"/>
    <col min="6147" max="6147" width="9.88671875" style="1263" bestFit="1" customWidth="1"/>
    <col min="6148" max="6149" width="10.109375" style="1263" bestFit="1" customWidth="1"/>
    <col min="6150" max="6150" width="10" style="1263" bestFit="1" customWidth="1"/>
    <col min="6151" max="6151" width="9.33203125" style="1263" bestFit="1" customWidth="1"/>
    <col min="6152" max="6153" width="10.109375" style="1263" bestFit="1" customWidth="1"/>
    <col min="6154" max="6154" width="10" style="1263" bestFit="1" customWidth="1"/>
    <col min="6155" max="6155" width="8.44140625" style="1263" bestFit="1" customWidth="1"/>
    <col min="6156" max="6400" width="11.44140625" style="1263"/>
    <col min="6401" max="6401" width="6.6640625" style="1263" bestFit="1" customWidth="1"/>
    <col min="6402" max="6402" width="49.44140625" style="1263" bestFit="1" customWidth="1"/>
    <col min="6403" max="6403" width="9.88671875" style="1263" bestFit="1" customWidth="1"/>
    <col min="6404" max="6405" width="10.109375" style="1263" bestFit="1" customWidth="1"/>
    <col min="6406" max="6406" width="10" style="1263" bestFit="1" customWidth="1"/>
    <col min="6407" max="6407" width="9.33203125" style="1263" bestFit="1" customWidth="1"/>
    <col min="6408" max="6409" width="10.109375" style="1263" bestFit="1" customWidth="1"/>
    <col min="6410" max="6410" width="10" style="1263" bestFit="1" customWidth="1"/>
    <col min="6411" max="6411" width="8.44140625" style="1263" bestFit="1" customWidth="1"/>
    <col min="6412" max="6656" width="11.44140625" style="1263"/>
    <col min="6657" max="6657" width="6.6640625" style="1263" bestFit="1" customWidth="1"/>
    <col min="6658" max="6658" width="49.44140625" style="1263" bestFit="1" customWidth="1"/>
    <col min="6659" max="6659" width="9.88671875" style="1263" bestFit="1" customWidth="1"/>
    <col min="6660" max="6661" width="10.109375" style="1263" bestFit="1" customWidth="1"/>
    <col min="6662" max="6662" width="10" style="1263" bestFit="1" customWidth="1"/>
    <col min="6663" max="6663" width="9.33203125" style="1263" bestFit="1" customWidth="1"/>
    <col min="6664" max="6665" width="10.109375" style="1263" bestFit="1" customWidth="1"/>
    <col min="6666" max="6666" width="10" style="1263" bestFit="1" customWidth="1"/>
    <col min="6667" max="6667" width="8.44140625" style="1263" bestFit="1" customWidth="1"/>
    <col min="6668" max="6912" width="11.44140625" style="1263"/>
    <col min="6913" max="6913" width="6.6640625" style="1263" bestFit="1" customWidth="1"/>
    <col min="6914" max="6914" width="49.44140625" style="1263" bestFit="1" customWidth="1"/>
    <col min="6915" max="6915" width="9.88671875" style="1263" bestFit="1" customWidth="1"/>
    <col min="6916" max="6917" width="10.109375" style="1263" bestFit="1" customWidth="1"/>
    <col min="6918" max="6918" width="10" style="1263" bestFit="1" customWidth="1"/>
    <col min="6919" max="6919" width="9.33203125" style="1263" bestFit="1" customWidth="1"/>
    <col min="6920" max="6921" width="10.109375" style="1263" bestFit="1" customWidth="1"/>
    <col min="6922" max="6922" width="10" style="1263" bestFit="1" customWidth="1"/>
    <col min="6923" max="6923" width="8.44140625" style="1263" bestFit="1" customWidth="1"/>
    <col min="6924" max="7168" width="11.44140625" style="1263"/>
    <col min="7169" max="7169" width="6.6640625" style="1263" bestFit="1" customWidth="1"/>
    <col min="7170" max="7170" width="49.44140625" style="1263" bestFit="1" customWidth="1"/>
    <col min="7171" max="7171" width="9.88671875" style="1263" bestFit="1" customWidth="1"/>
    <col min="7172" max="7173" width="10.109375" style="1263" bestFit="1" customWidth="1"/>
    <col min="7174" max="7174" width="10" style="1263" bestFit="1" customWidth="1"/>
    <col min="7175" max="7175" width="9.33203125" style="1263" bestFit="1" customWidth="1"/>
    <col min="7176" max="7177" width="10.109375" style="1263" bestFit="1" customWidth="1"/>
    <col min="7178" max="7178" width="10" style="1263" bestFit="1" customWidth="1"/>
    <col min="7179" max="7179" width="8.44140625" style="1263" bestFit="1" customWidth="1"/>
    <col min="7180" max="7424" width="11.44140625" style="1263"/>
    <col min="7425" max="7425" width="6.6640625" style="1263" bestFit="1" customWidth="1"/>
    <col min="7426" max="7426" width="49.44140625" style="1263" bestFit="1" customWidth="1"/>
    <col min="7427" max="7427" width="9.88671875" style="1263" bestFit="1" customWidth="1"/>
    <col min="7428" max="7429" width="10.109375" style="1263" bestFit="1" customWidth="1"/>
    <col min="7430" max="7430" width="10" style="1263" bestFit="1" customWidth="1"/>
    <col min="7431" max="7431" width="9.33203125" style="1263" bestFit="1" customWidth="1"/>
    <col min="7432" max="7433" width="10.109375" style="1263" bestFit="1" customWidth="1"/>
    <col min="7434" max="7434" width="10" style="1263" bestFit="1" customWidth="1"/>
    <col min="7435" max="7435" width="8.44140625" style="1263" bestFit="1" customWidth="1"/>
    <col min="7436" max="7680" width="11.44140625" style="1263"/>
    <col min="7681" max="7681" width="6.6640625" style="1263" bestFit="1" customWidth="1"/>
    <col min="7682" max="7682" width="49.44140625" style="1263" bestFit="1" customWidth="1"/>
    <col min="7683" max="7683" width="9.88671875" style="1263" bestFit="1" customWidth="1"/>
    <col min="7684" max="7685" width="10.109375" style="1263" bestFit="1" customWidth="1"/>
    <col min="7686" max="7686" width="10" style="1263" bestFit="1" customWidth="1"/>
    <col min="7687" max="7687" width="9.33203125" style="1263" bestFit="1" customWidth="1"/>
    <col min="7688" max="7689" width="10.109375" style="1263" bestFit="1" customWidth="1"/>
    <col min="7690" max="7690" width="10" style="1263" bestFit="1" customWidth="1"/>
    <col min="7691" max="7691" width="8.44140625" style="1263" bestFit="1" customWidth="1"/>
    <col min="7692" max="7936" width="11.44140625" style="1263"/>
    <col min="7937" max="7937" width="6.6640625" style="1263" bestFit="1" customWidth="1"/>
    <col min="7938" max="7938" width="49.44140625" style="1263" bestFit="1" customWidth="1"/>
    <col min="7939" max="7939" width="9.88671875" style="1263" bestFit="1" customWidth="1"/>
    <col min="7940" max="7941" width="10.109375" style="1263" bestFit="1" customWidth="1"/>
    <col min="7942" max="7942" width="10" style="1263" bestFit="1" customWidth="1"/>
    <col min="7943" max="7943" width="9.33203125" style="1263" bestFit="1" customWidth="1"/>
    <col min="7944" max="7945" width="10.109375" style="1263" bestFit="1" customWidth="1"/>
    <col min="7946" max="7946" width="10" style="1263" bestFit="1" customWidth="1"/>
    <col min="7947" max="7947" width="8.44140625" style="1263" bestFit="1" customWidth="1"/>
    <col min="7948" max="8192" width="11.44140625" style="1263"/>
    <col min="8193" max="8193" width="6.6640625" style="1263" bestFit="1" customWidth="1"/>
    <col min="8194" max="8194" width="49.44140625" style="1263" bestFit="1" customWidth="1"/>
    <col min="8195" max="8195" width="9.88671875" style="1263" bestFit="1" customWidth="1"/>
    <col min="8196" max="8197" width="10.109375" style="1263" bestFit="1" customWidth="1"/>
    <col min="8198" max="8198" width="10" style="1263" bestFit="1" customWidth="1"/>
    <col min="8199" max="8199" width="9.33203125" style="1263" bestFit="1" customWidth="1"/>
    <col min="8200" max="8201" width="10.109375" style="1263" bestFit="1" customWidth="1"/>
    <col min="8202" max="8202" width="10" style="1263" bestFit="1" customWidth="1"/>
    <col min="8203" max="8203" width="8.44140625" style="1263" bestFit="1" customWidth="1"/>
    <col min="8204" max="8448" width="11.44140625" style="1263"/>
    <col min="8449" max="8449" width="6.6640625" style="1263" bestFit="1" customWidth="1"/>
    <col min="8450" max="8450" width="49.44140625" style="1263" bestFit="1" customWidth="1"/>
    <col min="8451" max="8451" width="9.88671875" style="1263" bestFit="1" customWidth="1"/>
    <col min="8452" max="8453" width="10.109375" style="1263" bestFit="1" customWidth="1"/>
    <col min="8454" max="8454" width="10" style="1263" bestFit="1" customWidth="1"/>
    <col min="8455" max="8455" width="9.33203125" style="1263" bestFit="1" customWidth="1"/>
    <col min="8456" max="8457" width="10.109375" style="1263" bestFit="1" customWidth="1"/>
    <col min="8458" max="8458" width="10" style="1263" bestFit="1" customWidth="1"/>
    <col min="8459" max="8459" width="8.44140625" style="1263" bestFit="1" customWidth="1"/>
    <col min="8460" max="8704" width="11.44140625" style="1263"/>
    <col min="8705" max="8705" width="6.6640625" style="1263" bestFit="1" customWidth="1"/>
    <col min="8706" max="8706" width="49.44140625" style="1263" bestFit="1" customWidth="1"/>
    <col min="8707" max="8707" width="9.88671875" style="1263" bestFit="1" customWidth="1"/>
    <col min="8708" max="8709" width="10.109375" style="1263" bestFit="1" customWidth="1"/>
    <col min="8710" max="8710" width="10" style="1263" bestFit="1" customWidth="1"/>
    <col min="8711" max="8711" width="9.33203125" style="1263" bestFit="1" customWidth="1"/>
    <col min="8712" max="8713" width="10.109375" style="1263" bestFit="1" customWidth="1"/>
    <col min="8714" max="8714" width="10" style="1263" bestFit="1" customWidth="1"/>
    <col min="8715" max="8715" width="8.44140625" style="1263" bestFit="1" customWidth="1"/>
    <col min="8716" max="8960" width="11.44140625" style="1263"/>
    <col min="8961" max="8961" width="6.6640625" style="1263" bestFit="1" customWidth="1"/>
    <col min="8962" max="8962" width="49.44140625" style="1263" bestFit="1" customWidth="1"/>
    <col min="8963" max="8963" width="9.88671875" style="1263" bestFit="1" customWidth="1"/>
    <col min="8964" max="8965" width="10.109375" style="1263" bestFit="1" customWidth="1"/>
    <col min="8966" max="8966" width="10" style="1263" bestFit="1" customWidth="1"/>
    <col min="8967" max="8967" width="9.33203125" style="1263" bestFit="1" customWidth="1"/>
    <col min="8968" max="8969" width="10.109375" style="1263" bestFit="1" customWidth="1"/>
    <col min="8970" max="8970" width="10" style="1263" bestFit="1" customWidth="1"/>
    <col min="8971" max="8971" width="8.44140625" style="1263" bestFit="1" customWidth="1"/>
    <col min="8972" max="9216" width="11.44140625" style="1263"/>
    <col min="9217" max="9217" width="6.6640625" style="1263" bestFit="1" customWidth="1"/>
    <col min="9218" max="9218" width="49.44140625" style="1263" bestFit="1" customWidth="1"/>
    <col min="9219" max="9219" width="9.88671875" style="1263" bestFit="1" customWidth="1"/>
    <col min="9220" max="9221" width="10.109375" style="1263" bestFit="1" customWidth="1"/>
    <col min="9222" max="9222" width="10" style="1263" bestFit="1" customWidth="1"/>
    <col min="9223" max="9223" width="9.33203125" style="1263" bestFit="1" customWidth="1"/>
    <col min="9224" max="9225" width="10.109375" style="1263" bestFit="1" customWidth="1"/>
    <col min="9226" max="9226" width="10" style="1263" bestFit="1" customWidth="1"/>
    <col min="9227" max="9227" width="8.44140625" style="1263" bestFit="1" customWidth="1"/>
    <col min="9228" max="9472" width="11.44140625" style="1263"/>
    <col min="9473" max="9473" width="6.6640625" style="1263" bestFit="1" customWidth="1"/>
    <col min="9474" max="9474" width="49.44140625" style="1263" bestFit="1" customWidth="1"/>
    <col min="9475" max="9475" width="9.88671875" style="1263" bestFit="1" customWidth="1"/>
    <col min="9476" max="9477" width="10.109375" style="1263" bestFit="1" customWidth="1"/>
    <col min="9478" max="9478" width="10" style="1263" bestFit="1" customWidth="1"/>
    <col min="9479" max="9479" width="9.33203125" style="1263" bestFit="1" customWidth="1"/>
    <col min="9480" max="9481" width="10.109375" style="1263" bestFit="1" customWidth="1"/>
    <col min="9482" max="9482" width="10" style="1263" bestFit="1" customWidth="1"/>
    <col min="9483" max="9483" width="8.44140625" style="1263" bestFit="1" customWidth="1"/>
    <col min="9484" max="9728" width="11.44140625" style="1263"/>
    <col min="9729" max="9729" width="6.6640625" style="1263" bestFit="1" customWidth="1"/>
    <col min="9730" max="9730" width="49.44140625" style="1263" bestFit="1" customWidth="1"/>
    <col min="9731" max="9731" width="9.88671875" style="1263" bestFit="1" customWidth="1"/>
    <col min="9732" max="9733" width="10.109375" style="1263" bestFit="1" customWidth="1"/>
    <col min="9734" max="9734" width="10" style="1263" bestFit="1" customWidth="1"/>
    <col min="9735" max="9735" width="9.33203125" style="1263" bestFit="1" customWidth="1"/>
    <col min="9736" max="9737" width="10.109375" style="1263" bestFit="1" customWidth="1"/>
    <col min="9738" max="9738" width="10" style="1263" bestFit="1" customWidth="1"/>
    <col min="9739" max="9739" width="8.44140625" style="1263" bestFit="1" customWidth="1"/>
    <col min="9740" max="9984" width="11.44140625" style="1263"/>
    <col min="9985" max="9985" width="6.6640625" style="1263" bestFit="1" customWidth="1"/>
    <col min="9986" max="9986" width="49.44140625" style="1263" bestFit="1" customWidth="1"/>
    <col min="9987" max="9987" width="9.88671875" style="1263" bestFit="1" customWidth="1"/>
    <col min="9988" max="9989" width="10.109375" style="1263" bestFit="1" customWidth="1"/>
    <col min="9990" max="9990" width="10" style="1263" bestFit="1" customWidth="1"/>
    <col min="9991" max="9991" width="9.33203125" style="1263" bestFit="1" customWidth="1"/>
    <col min="9992" max="9993" width="10.109375" style="1263" bestFit="1" customWidth="1"/>
    <col min="9994" max="9994" width="10" style="1263" bestFit="1" customWidth="1"/>
    <col min="9995" max="9995" width="8.44140625" style="1263" bestFit="1" customWidth="1"/>
    <col min="9996" max="10240" width="11.44140625" style="1263"/>
    <col min="10241" max="10241" width="6.6640625" style="1263" bestFit="1" customWidth="1"/>
    <col min="10242" max="10242" width="49.44140625" style="1263" bestFit="1" customWidth="1"/>
    <col min="10243" max="10243" width="9.88671875" style="1263" bestFit="1" customWidth="1"/>
    <col min="10244" max="10245" width="10.109375" style="1263" bestFit="1" customWidth="1"/>
    <col min="10246" max="10246" width="10" style="1263" bestFit="1" customWidth="1"/>
    <col min="10247" max="10247" width="9.33203125" style="1263" bestFit="1" customWidth="1"/>
    <col min="10248" max="10249" width="10.109375" style="1263" bestFit="1" customWidth="1"/>
    <col min="10250" max="10250" width="10" style="1263" bestFit="1" customWidth="1"/>
    <col min="10251" max="10251" width="8.44140625" style="1263" bestFit="1" customWidth="1"/>
    <col min="10252" max="10496" width="11.44140625" style="1263"/>
    <col min="10497" max="10497" width="6.6640625" style="1263" bestFit="1" customWidth="1"/>
    <col min="10498" max="10498" width="49.44140625" style="1263" bestFit="1" customWidth="1"/>
    <col min="10499" max="10499" width="9.88671875" style="1263" bestFit="1" customWidth="1"/>
    <col min="10500" max="10501" width="10.109375" style="1263" bestFit="1" customWidth="1"/>
    <col min="10502" max="10502" width="10" style="1263" bestFit="1" customWidth="1"/>
    <col min="10503" max="10503" width="9.33203125" style="1263" bestFit="1" customWidth="1"/>
    <col min="10504" max="10505" width="10.109375" style="1263" bestFit="1" customWidth="1"/>
    <col min="10506" max="10506" width="10" style="1263" bestFit="1" customWidth="1"/>
    <col min="10507" max="10507" width="8.44140625" style="1263" bestFit="1" customWidth="1"/>
    <col min="10508" max="10752" width="11.44140625" style="1263"/>
    <col min="10753" max="10753" width="6.6640625" style="1263" bestFit="1" customWidth="1"/>
    <col min="10754" max="10754" width="49.44140625" style="1263" bestFit="1" customWidth="1"/>
    <col min="10755" max="10755" width="9.88671875" style="1263" bestFit="1" customWidth="1"/>
    <col min="10756" max="10757" width="10.109375" style="1263" bestFit="1" customWidth="1"/>
    <col min="10758" max="10758" width="10" style="1263" bestFit="1" customWidth="1"/>
    <col min="10759" max="10759" width="9.33203125" style="1263" bestFit="1" customWidth="1"/>
    <col min="10760" max="10761" width="10.109375" style="1263" bestFit="1" customWidth="1"/>
    <col min="10762" max="10762" width="10" style="1263" bestFit="1" customWidth="1"/>
    <col min="10763" max="10763" width="8.44140625" style="1263" bestFit="1" customWidth="1"/>
    <col min="10764" max="11008" width="11.44140625" style="1263"/>
    <col min="11009" max="11009" width="6.6640625" style="1263" bestFit="1" customWidth="1"/>
    <col min="11010" max="11010" width="49.44140625" style="1263" bestFit="1" customWidth="1"/>
    <col min="11011" max="11011" width="9.88671875" style="1263" bestFit="1" customWidth="1"/>
    <col min="11012" max="11013" width="10.109375" style="1263" bestFit="1" customWidth="1"/>
    <col min="11014" max="11014" width="10" style="1263" bestFit="1" customWidth="1"/>
    <col min="11015" max="11015" width="9.33203125" style="1263" bestFit="1" customWidth="1"/>
    <col min="11016" max="11017" width="10.109375" style="1263" bestFit="1" customWidth="1"/>
    <col min="11018" max="11018" width="10" style="1263" bestFit="1" customWidth="1"/>
    <col min="11019" max="11019" width="8.44140625" style="1263" bestFit="1" customWidth="1"/>
    <col min="11020" max="11264" width="11.44140625" style="1263"/>
    <col min="11265" max="11265" width="6.6640625" style="1263" bestFit="1" customWidth="1"/>
    <col min="11266" max="11266" width="49.44140625" style="1263" bestFit="1" customWidth="1"/>
    <col min="11267" max="11267" width="9.88671875" style="1263" bestFit="1" customWidth="1"/>
    <col min="11268" max="11269" width="10.109375" style="1263" bestFit="1" customWidth="1"/>
    <col min="11270" max="11270" width="10" style="1263" bestFit="1" customWidth="1"/>
    <col min="11271" max="11271" width="9.33203125" style="1263" bestFit="1" customWidth="1"/>
    <col min="11272" max="11273" width="10.109375" style="1263" bestFit="1" customWidth="1"/>
    <col min="11274" max="11274" width="10" style="1263" bestFit="1" customWidth="1"/>
    <col min="11275" max="11275" width="8.44140625" style="1263" bestFit="1" customWidth="1"/>
    <col min="11276" max="11520" width="11.44140625" style="1263"/>
    <col min="11521" max="11521" width="6.6640625" style="1263" bestFit="1" customWidth="1"/>
    <col min="11522" max="11522" width="49.44140625" style="1263" bestFit="1" customWidth="1"/>
    <col min="11523" max="11523" width="9.88671875" style="1263" bestFit="1" customWidth="1"/>
    <col min="11524" max="11525" width="10.109375" style="1263" bestFit="1" customWidth="1"/>
    <col min="11526" max="11526" width="10" style="1263" bestFit="1" customWidth="1"/>
    <col min="11527" max="11527" width="9.33203125" style="1263" bestFit="1" customWidth="1"/>
    <col min="11528" max="11529" width="10.109375" style="1263" bestFit="1" customWidth="1"/>
    <col min="11530" max="11530" width="10" style="1263" bestFit="1" customWidth="1"/>
    <col min="11531" max="11531" width="8.44140625" style="1263" bestFit="1" customWidth="1"/>
    <col min="11532" max="11776" width="11.44140625" style="1263"/>
    <col min="11777" max="11777" width="6.6640625" style="1263" bestFit="1" customWidth="1"/>
    <col min="11778" max="11778" width="49.44140625" style="1263" bestFit="1" customWidth="1"/>
    <col min="11779" max="11779" width="9.88671875" style="1263" bestFit="1" customWidth="1"/>
    <col min="11780" max="11781" width="10.109375" style="1263" bestFit="1" customWidth="1"/>
    <col min="11782" max="11782" width="10" style="1263" bestFit="1" customWidth="1"/>
    <col min="11783" max="11783" width="9.33203125" style="1263" bestFit="1" customWidth="1"/>
    <col min="11784" max="11785" width="10.109375" style="1263" bestFit="1" customWidth="1"/>
    <col min="11786" max="11786" width="10" style="1263" bestFit="1" customWidth="1"/>
    <col min="11787" max="11787" width="8.44140625" style="1263" bestFit="1" customWidth="1"/>
    <col min="11788" max="12032" width="11.44140625" style="1263"/>
    <col min="12033" max="12033" width="6.6640625" style="1263" bestFit="1" customWidth="1"/>
    <col min="12034" max="12034" width="49.44140625" style="1263" bestFit="1" customWidth="1"/>
    <col min="12035" max="12035" width="9.88671875" style="1263" bestFit="1" customWidth="1"/>
    <col min="12036" max="12037" width="10.109375" style="1263" bestFit="1" customWidth="1"/>
    <col min="12038" max="12038" width="10" style="1263" bestFit="1" customWidth="1"/>
    <col min="12039" max="12039" width="9.33203125" style="1263" bestFit="1" customWidth="1"/>
    <col min="12040" max="12041" width="10.109375" style="1263" bestFit="1" customWidth="1"/>
    <col min="12042" max="12042" width="10" style="1263" bestFit="1" customWidth="1"/>
    <col min="12043" max="12043" width="8.44140625" style="1263" bestFit="1" customWidth="1"/>
    <col min="12044" max="12288" width="11.44140625" style="1263"/>
    <col min="12289" max="12289" width="6.6640625" style="1263" bestFit="1" customWidth="1"/>
    <col min="12290" max="12290" width="49.44140625" style="1263" bestFit="1" customWidth="1"/>
    <col min="12291" max="12291" width="9.88671875" style="1263" bestFit="1" customWidth="1"/>
    <col min="12292" max="12293" width="10.109375" style="1263" bestFit="1" customWidth="1"/>
    <col min="12294" max="12294" width="10" style="1263" bestFit="1" customWidth="1"/>
    <col min="12295" max="12295" width="9.33203125" style="1263" bestFit="1" customWidth="1"/>
    <col min="12296" max="12297" width="10.109375" style="1263" bestFit="1" customWidth="1"/>
    <col min="12298" max="12298" width="10" style="1263" bestFit="1" customWidth="1"/>
    <col min="12299" max="12299" width="8.44140625" style="1263" bestFit="1" customWidth="1"/>
    <col min="12300" max="12544" width="11.44140625" style="1263"/>
    <col min="12545" max="12545" width="6.6640625" style="1263" bestFit="1" customWidth="1"/>
    <col min="12546" max="12546" width="49.44140625" style="1263" bestFit="1" customWidth="1"/>
    <col min="12547" max="12547" width="9.88671875" style="1263" bestFit="1" customWidth="1"/>
    <col min="12548" max="12549" width="10.109375" style="1263" bestFit="1" customWidth="1"/>
    <col min="12550" max="12550" width="10" style="1263" bestFit="1" customWidth="1"/>
    <col min="12551" max="12551" width="9.33203125" style="1263" bestFit="1" customWidth="1"/>
    <col min="12552" max="12553" width="10.109375" style="1263" bestFit="1" customWidth="1"/>
    <col min="12554" max="12554" width="10" style="1263" bestFit="1" customWidth="1"/>
    <col min="12555" max="12555" width="8.44140625" style="1263" bestFit="1" customWidth="1"/>
    <col min="12556" max="12800" width="11.44140625" style="1263"/>
    <col min="12801" max="12801" width="6.6640625" style="1263" bestFit="1" customWidth="1"/>
    <col min="12802" max="12802" width="49.44140625" style="1263" bestFit="1" customWidth="1"/>
    <col min="12803" max="12803" width="9.88671875" style="1263" bestFit="1" customWidth="1"/>
    <col min="12804" max="12805" width="10.109375" style="1263" bestFit="1" customWidth="1"/>
    <col min="12806" max="12806" width="10" style="1263" bestFit="1" customWidth="1"/>
    <col min="12807" max="12807" width="9.33203125" style="1263" bestFit="1" customWidth="1"/>
    <col min="12808" max="12809" width="10.109375" style="1263" bestFit="1" customWidth="1"/>
    <col min="12810" max="12810" width="10" style="1263" bestFit="1" customWidth="1"/>
    <col min="12811" max="12811" width="8.44140625" style="1263" bestFit="1" customWidth="1"/>
    <col min="12812" max="13056" width="11.44140625" style="1263"/>
    <col min="13057" max="13057" width="6.6640625" style="1263" bestFit="1" customWidth="1"/>
    <col min="13058" max="13058" width="49.44140625" style="1263" bestFit="1" customWidth="1"/>
    <col min="13059" max="13059" width="9.88671875" style="1263" bestFit="1" customWidth="1"/>
    <col min="13060" max="13061" width="10.109375" style="1263" bestFit="1" customWidth="1"/>
    <col min="13062" max="13062" width="10" style="1263" bestFit="1" customWidth="1"/>
    <col min="13063" max="13063" width="9.33203125" style="1263" bestFit="1" customWidth="1"/>
    <col min="13064" max="13065" width="10.109375" style="1263" bestFit="1" customWidth="1"/>
    <col min="13066" max="13066" width="10" style="1263" bestFit="1" customWidth="1"/>
    <col min="13067" max="13067" width="8.44140625" style="1263" bestFit="1" customWidth="1"/>
    <col min="13068" max="13312" width="11.44140625" style="1263"/>
    <col min="13313" max="13313" width="6.6640625" style="1263" bestFit="1" customWidth="1"/>
    <col min="13314" max="13314" width="49.44140625" style="1263" bestFit="1" customWidth="1"/>
    <col min="13315" max="13315" width="9.88671875" style="1263" bestFit="1" customWidth="1"/>
    <col min="13316" max="13317" width="10.109375" style="1263" bestFit="1" customWidth="1"/>
    <col min="13318" max="13318" width="10" style="1263" bestFit="1" customWidth="1"/>
    <col min="13319" max="13319" width="9.33203125" style="1263" bestFit="1" customWidth="1"/>
    <col min="13320" max="13321" width="10.109375" style="1263" bestFit="1" customWidth="1"/>
    <col min="13322" max="13322" width="10" style="1263" bestFit="1" customWidth="1"/>
    <col min="13323" max="13323" width="8.44140625" style="1263" bestFit="1" customWidth="1"/>
    <col min="13324" max="13568" width="11.44140625" style="1263"/>
    <col min="13569" max="13569" width="6.6640625" style="1263" bestFit="1" customWidth="1"/>
    <col min="13570" max="13570" width="49.44140625" style="1263" bestFit="1" customWidth="1"/>
    <col min="13571" max="13571" width="9.88671875" style="1263" bestFit="1" customWidth="1"/>
    <col min="13572" max="13573" width="10.109375" style="1263" bestFit="1" customWidth="1"/>
    <col min="13574" max="13574" width="10" style="1263" bestFit="1" customWidth="1"/>
    <col min="13575" max="13575" width="9.33203125" style="1263" bestFit="1" customWidth="1"/>
    <col min="13576" max="13577" width="10.109375" style="1263" bestFit="1" customWidth="1"/>
    <col min="13578" max="13578" width="10" style="1263" bestFit="1" customWidth="1"/>
    <col min="13579" max="13579" width="8.44140625" style="1263" bestFit="1" customWidth="1"/>
    <col min="13580" max="13824" width="11.44140625" style="1263"/>
    <col min="13825" max="13825" width="6.6640625" style="1263" bestFit="1" customWidth="1"/>
    <col min="13826" max="13826" width="49.44140625" style="1263" bestFit="1" customWidth="1"/>
    <col min="13827" max="13827" width="9.88671875" style="1263" bestFit="1" customWidth="1"/>
    <col min="13828" max="13829" width="10.109375" style="1263" bestFit="1" customWidth="1"/>
    <col min="13830" max="13830" width="10" style="1263" bestFit="1" customWidth="1"/>
    <col min="13831" max="13831" width="9.33203125" style="1263" bestFit="1" customWidth="1"/>
    <col min="13832" max="13833" width="10.109375" style="1263" bestFit="1" customWidth="1"/>
    <col min="13834" max="13834" width="10" style="1263" bestFit="1" customWidth="1"/>
    <col min="13835" max="13835" width="8.44140625" style="1263" bestFit="1" customWidth="1"/>
    <col min="13836" max="14080" width="11.44140625" style="1263"/>
    <col min="14081" max="14081" width="6.6640625" style="1263" bestFit="1" customWidth="1"/>
    <col min="14082" max="14082" width="49.44140625" style="1263" bestFit="1" customWidth="1"/>
    <col min="14083" max="14083" width="9.88671875" style="1263" bestFit="1" customWidth="1"/>
    <col min="14084" max="14085" width="10.109375" style="1263" bestFit="1" customWidth="1"/>
    <col min="14086" max="14086" width="10" style="1263" bestFit="1" customWidth="1"/>
    <col min="14087" max="14087" width="9.33203125" style="1263" bestFit="1" customWidth="1"/>
    <col min="14088" max="14089" width="10.109375" style="1263" bestFit="1" customWidth="1"/>
    <col min="14090" max="14090" width="10" style="1263" bestFit="1" customWidth="1"/>
    <col min="14091" max="14091" width="8.44140625" style="1263" bestFit="1" customWidth="1"/>
    <col min="14092" max="14336" width="11.44140625" style="1263"/>
    <col min="14337" max="14337" width="6.6640625" style="1263" bestFit="1" customWidth="1"/>
    <col min="14338" max="14338" width="49.44140625" style="1263" bestFit="1" customWidth="1"/>
    <col min="14339" max="14339" width="9.88671875" style="1263" bestFit="1" customWidth="1"/>
    <col min="14340" max="14341" width="10.109375" style="1263" bestFit="1" customWidth="1"/>
    <col min="14342" max="14342" width="10" style="1263" bestFit="1" customWidth="1"/>
    <col min="14343" max="14343" width="9.33203125" style="1263" bestFit="1" customWidth="1"/>
    <col min="14344" max="14345" width="10.109375" style="1263" bestFit="1" customWidth="1"/>
    <col min="14346" max="14346" width="10" style="1263" bestFit="1" customWidth="1"/>
    <col min="14347" max="14347" width="8.44140625" style="1263" bestFit="1" customWidth="1"/>
    <col min="14348" max="14592" width="11.44140625" style="1263"/>
    <col min="14593" max="14593" width="6.6640625" style="1263" bestFit="1" customWidth="1"/>
    <col min="14594" max="14594" width="49.44140625" style="1263" bestFit="1" customWidth="1"/>
    <col min="14595" max="14595" width="9.88671875" style="1263" bestFit="1" customWidth="1"/>
    <col min="14596" max="14597" width="10.109375" style="1263" bestFit="1" customWidth="1"/>
    <col min="14598" max="14598" width="10" style="1263" bestFit="1" customWidth="1"/>
    <col min="14599" max="14599" width="9.33203125" style="1263" bestFit="1" customWidth="1"/>
    <col min="14600" max="14601" width="10.109375" style="1263" bestFit="1" customWidth="1"/>
    <col min="14602" max="14602" width="10" style="1263" bestFit="1" customWidth="1"/>
    <col min="14603" max="14603" width="8.44140625" style="1263" bestFit="1" customWidth="1"/>
    <col min="14604" max="14848" width="11.44140625" style="1263"/>
    <col min="14849" max="14849" width="6.6640625" style="1263" bestFit="1" customWidth="1"/>
    <col min="14850" max="14850" width="49.44140625" style="1263" bestFit="1" customWidth="1"/>
    <col min="14851" max="14851" width="9.88671875" style="1263" bestFit="1" customWidth="1"/>
    <col min="14852" max="14853" width="10.109375" style="1263" bestFit="1" customWidth="1"/>
    <col min="14854" max="14854" width="10" style="1263" bestFit="1" customWidth="1"/>
    <col min="14855" max="14855" width="9.33203125" style="1263" bestFit="1" customWidth="1"/>
    <col min="14856" max="14857" width="10.109375" style="1263" bestFit="1" customWidth="1"/>
    <col min="14858" max="14858" width="10" style="1263" bestFit="1" customWidth="1"/>
    <col min="14859" max="14859" width="8.44140625" style="1263" bestFit="1" customWidth="1"/>
    <col min="14860" max="15104" width="11.44140625" style="1263"/>
    <col min="15105" max="15105" width="6.6640625" style="1263" bestFit="1" customWidth="1"/>
    <col min="15106" max="15106" width="49.44140625" style="1263" bestFit="1" customWidth="1"/>
    <col min="15107" max="15107" width="9.88671875" style="1263" bestFit="1" customWidth="1"/>
    <col min="15108" max="15109" width="10.109375" style="1263" bestFit="1" customWidth="1"/>
    <col min="15110" max="15110" width="10" style="1263" bestFit="1" customWidth="1"/>
    <col min="15111" max="15111" width="9.33203125" style="1263" bestFit="1" customWidth="1"/>
    <col min="15112" max="15113" width="10.109375" style="1263" bestFit="1" customWidth="1"/>
    <col min="15114" max="15114" width="10" style="1263" bestFit="1" customWidth="1"/>
    <col min="15115" max="15115" width="8.44140625" style="1263" bestFit="1" customWidth="1"/>
    <col min="15116" max="15360" width="11.44140625" style="1263"/>
    <col min="15361" max="15361" width="6.6640625" style="1263" bestFit="1" customWidth="1"/>
    <col min="15362" max="15362" width="49.44140625" style="1263" bestFit="1" customWidth="1"/>
    <col min="15363" max="15363" width="9.88671875" style="1263" bestFit="1" customWidth="1"/>
    <col min="15364" max="15365" width="10.109375" style="1263" bestFit="1" customWidth="1"/>
    <col min="15366" max="15366" width="10" style="1263" bestFit="1" customWidth="1"/>
    <col min="15367" max="15367" width="9.33203125" style="1263" bestFit="1" customWidth="1"/>
    <col min="15368" max="15369" width="10.109375" style="1263" bestFit="1" customWidth="1"/>
    <col min="15370" max="15370" width="10" style="1263" bestFit="1" customWidth="1"/>
    <col min="15371" max="15371" width="8.44140625" style="1263" bestFit="1" customWidth="1"/>
    <col min="15372" max="15616" width="11.44140625" style="1263"/>
    <col min="15617" max="15617" width="6.6640625" style="1263" bestFit="1" customWidth="1"/>
    <col min="15618" max="15618" width="49.44140625" style="1263" bestFit="1" customWidth="1"/>
    <col min="15619" max="15619" width="9.88671875" style="1263" bestFit="1" customWidth="1"/>
    <col min="15620" max="15621" width="10.109375" style="1263" bestFit="1" customWidth="1"/>
    <col min="15622" max="15622" width="10" style="1263" bestFit="1" customWidth="1"/>
    <col min="15623" max="15623" width="9.33203125" style="1263" bestFit="1" customWidth="1"/>
    <col min="15624" max="15625" width="10.109375" style="1263" bestFit="1" customWidth="1"/>
    <col min="15626" max="15626" width="10" style="1263" bestFit="1" customWidth="1"/>
    <col min="15627" max="15627" width="8.44140625" style="1263" bestFit="1" customWidth="1"/>
    <col min="15628" max="15872" width="11.44140625" style="1263"/>
    <col min="15873" max="15873" width="6.6640625" style="1263" bestFit="1" customWidth="1"/>
    <col min="15874" max="15874" width="49.44140625" style="1263" bestFit="1" customWidth="1"/>
    <col min="15875" max="15875" width="9.88671875" style="1263" bestFit="1" customWidth="1"/>
    <col min="15876" max="15877" width="10.109375" style="1263" bestFit="1" customWidth="1"/>
    <col min="15878" max="15878" width="10" style="1263" bestFit="1" customWidth="1"/>
    <col min="15879" max="15879" width="9.33203125" style="1263" bestFit="1" customWidth="1"/>
    <col min="15880" max="15881" width="10.109375" style="1263" bestFit="1" customWidth="1"/>
    <col min="15882" max="15882" width="10" style="1263" bestFit="1" customWidth="1"/>
    <col min="15883" max="15883" width="8.44140625" style="1263" bestFit="1" customWidth="1"/>
    <col min="15884" max="16128" width="11.44140625" style="1263"/>
    <col min="16129" max="16129" width="6.6640625" style="1263" bestFit="1" customWidth="1"/>
    <col min="16130" max="16130" width="49.44140625" style="1263" bestFit="1" customWidth="1"/>
    <col min="16131" max="16131" width="9.88671875" style="1263" bestFit="1" customWidth="1"/>
    <col min="16132" max="16133" width="10.109375" style="1263" bestFit="1" customWidth="1"/>
    <col min="16134" max="16134" width="10" style="1263" bestFit="1" customWidth="1"/>
    <col min="16135" max="16135" width="9.33203125" style="1263" bestFit="1" customWidth="1"/>
    <col min="16136" max="16137" width="10.109375" style="1263" bestFit="1" customWidth="1"/>
    <col min="16138" max="16138" width="10" style="1263" bestFit="1" customWidth="1"/>
    <col min="16139" max="16139" width="8.44140625" style="1263" bestFit="1" customWidth="1"/>
    <col min="16140" max="16384" width="11.44140625" style="1263"/>
  </cols>
  <sheetData>
    <row r="1" spans="1:22" ht="20.399999999999999">
      <c r="A1" s="1323"/>
      <c r="B1" s="1278"/>
      <c r="C1" s="1278"/>
      <c r="D1" s="1278"/>
      <c r="E1" s="1451"/>
      <c r="F1" s="1451"/>
      <c r="G1" s="1278"/>
      <c r="H1" s="1278"/>
      <c r="I1" s="2190"/>
      <c r="J1" s="2190"/>
    </row>
    <row r="2" spans="1:22" ht="15.6">
      <c r="A2" s="1279" t="s">
        <v>713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</row>
    <row r="3" spans="1:22" ht="17.399999999999999">
      <c r="A3" s="1282"/>
      <c r="B3" s="1282"/>
      <c r="C3" s="1282"/>
      <c r="D3" s="1282"/>
      <c r="E3" s="1452"/>
      <c r="F3" s="1452"/>
      <c r="G3" s="1282"/>
      <c r="H3" s="1282"/>
      <c r="I3" s="1282"/>
      <c r="J3" s="1282"/>
    </row>
    <row r="4" spans="1:22" ht="17.399999999999999">
      <c r="A4" s="1754"/>
      <c r="B4" s="1754"/>
      <c r="C4" s="1754" t="s">
        <v>304</v>
      </c>
      <c r="D4" s="1754"/>
      <c r="E4" s="1754"/>
      <c r="F4" s="1754"/>
      <c r="G4" s="1754"/>
      <c r="H4" s="1754"/>
      <c r="I4" s="1453"/>
      <c r="J4" s="1453"/>
    </row>
    <row r="5" spans="1:22" ht="17.399999999999999">
      <c r="A5" s="1282" t="s">
        <v>235</v>
      </c>
      <c r="B5" s="1454"/>
      <c r="C5" s="1454"/>
      <c r="D5" s="1454"/>
      <c r="E5" s="1455"/>
      <c r="F5" s="1455"/>
      <c r="G5" s="1456"/>
      <c r="H5" s="1456"/>
      <c r="I5" s="1456"/>
      <c r="J5" s="1456"/>
    </row>
    <row r="6" spans="1:22">
      <c r="A6" s="1457"/>
      <c r="B6" s="1458"/>
      <c r="C6" s="1458"/>
      <c r="D6" s="1458"/>
      <c r="E6" s="1459"/>
      <c r="F6" s="1459"/>
      <c r="G6" s="1460"/>
      <c r="H6" s="1460"/>
      <c r="I6" s="1460"/>
      <c r="J6" s="1460"/>
    </row>
    <row r="7" spans="1:22" ht="17.399999999999999">
      <c r="A7" s="1282" t="s">
        <v>236</v>
      </c>
      <c r="B7" s="1461"/>
      <c r="C7" s="1461"/>
      <c r="D7" s="1461"/>
      <c r="E7" s="1462"/>
      <c r="F7" s="1462"/>
      <c r="G7" s="1282"/>
      <c r="H7" s="1282"/>
      <c r="I7" s="1282"/>
      <c r="J7" s="1282"/>
    </row>
    <row r="8" spans="1:22" ht="13.8" thickBot="1">
      <c r="A8" s="1288"/>
      <c r="B8" s="1288"/>
    </row>
    <row r="9" spans="1:22" ht="79.2">
      <c r="A9" s="1889" t="s">
        <v>8</v>
      </c>
      <c r="B9" s="1890" t="s">
        <v>125</v>
      </c>
      <c r="C9" s="1464" t="s">
        <v>135</v>
      </c>
      <c r="D9" s="1430" t="s">
        <v>136</v>
      </c>
      <c r="E9" s="1430" t="s">
        <v>524</v>
      </c>
      <c r="F9" s="1430" t="s">
        <v>525</v>
      </c>
      <c r="G9" s="1430" t="s">
        <v>225</v>
      </c>
      <c r="H9" s="1463" t="s">
        <v>526</v>
      </c>
      <c r="I9" s="1430" t="s">
        <v>527</v>
      </c>
      <c r="J9" s="1464" t="s">
        <v>528</v>
      </c>
      <c r="K9" s="1465" t="s">
        <v>137</v>
      </c>
    </row>
    <row r="10" spans="1:22">
      <c r="A10" s="1823" t="s">
        <v>9</v>
      </c>
      <c r="B10" s="1466" t="s">
        <v>10</v>
      </c>
      <c r="C10" s="1467"/>
      <c r="D10" s="1467"/>
      <c r="E10" s="1467">
        <v>1</v>
      </c>
      <c r="F10" s="1467"/>
      <c r="G10" s="1467"/>
      <c r="H10" s="1467"/>
      <c r="I10" s="1468"/>
      <c r="J10" s="1828">
        <v>2</v>
      </c>
      <c r="K10" s="1830">
        <f>SUM(C10:J10)</f>
        <v>3</v>
      </c>
    </row>
    <row r="11" spans="1:22">
      <c r="A11" s="1825" t="s">
        <v>17</v>
      </c>
      <c r="B11" s="1469" t="s">
        <v>18</v>
      </c>
      <c r="C11" s="1470"/>
      <c r="D11" s="1470"/>
      <c r="E11" s="1470">
        <v>1</v>
      </c>
      <c r="F11" s="1470"/>
      <c r="G11" s="1470"/>
      <c r="H11" s="1470"/>
      <c r="I11" s="1471"/>
      <c r="J11" s="1829"/>
      <c r="K11" s="1472">
        <f t="shared" ref="K11:K30" si="0">SUM(C11:J11)</f>
        <v>1</v>
      </c>
    </row>
    <row r="12" spans="1:22">
      <c r="A12" s="1825" t="s">
        <v>19</v>
      </c>
      <c r="B12" s="1469" t="s">
        <v>20</v>
      </c>
      <c r="C12" s="1470"/>
      <c r="D12" s="1470"/>
      <c r="E12" s="1470">
        <v>1</v>
      </c>
      <c r="F12" s="1470"/>
      <c r="G12" s="1470"/>
      <c r="H12" s="1470"/>
      <c r="I12" s="1471"/>
      <c r="J12" s="1829">
        <v>1</v>
      </c>
      <c r="K12" s="1472">
        <f t="shared" si="0"/>
        <v>2</v>
      </c>
      <c r="P12" s="1765">
        <f>17/40</f>
        <v>0.42499999999999999</v>
      </c>
      <c r="R12" s="1765">
        <f>21/40</f>
        <v>0.52500000000000002</v>
      </c>
    </row>
    <row r="13" spans="1:22">
      <c r="A13" s="1825" t="s">
        <v>21</v>
      </c>
      <c r="B13" s="1469" t="s">
        <v>22</v>
      </c>
      <c r="C13" s="1470"/>
      <c r="D13" s="1470"/>
      <c r="E13" s="1470">
        <v>1</v>
      </c>
      <c r="F13" s="1470"/>
      <c r="G13" s="1470"/>
      <c r="H13" s="1470"/>
      <c r="I13" s="1471"/>
      <c r="J13" s="1829"/>
      <c r="K13" s="1472">
        <f t="shared" si="0"/>
        <v>1</v>
      </c>
    </row>
    <row r="14" spans="1:22">
      <c r="A14" s="1825" t="s">
        <v>25</v>
      </c>
      <c r="B14" s="1469" t="s">
        <v>26</v>
      </c>
      <c r="C14" s="1470"/>
      <c r="D14" s="1470"/>
      <c r="E14" s="1470">
        <v>2</v>
      </c>
      <c r="F14" s="1470"/>
      <c r="G14" s="1470"/>
      <c r="H14" s="1470"/>
      <c r="I14" s="1471"/>
      <c r="J14" s="1829"/>
      <c r="K14" s="1472">
        <f t="shared" si="0"/>
        <v>2</v>
      </c>
      <c r="V14" s="1765">
        <f>17/40</f>
        <v>0.42499999999999999</v>
      </c>
    </row>
    <row r="15" spans="1:22">
      <c r="A15" s="1825" t="s">
        <v>29</v>
      </c>
      <c r="B15" s="1469" t="s">
        <v>30</v>
      </c>
      <c r="C15" s="1470"/>
      <c r="D15" s="1470"/>
      <c r="E15" s="1470">
        <v>1</v>
      </c>
      <c r="F15" s="1470"/>
      <c r="G15" s="1470"/>
      <c r="H15" s="1470"/>
      <c r="I15" s="1471"/>
      <c r="J15" s="1829">
        <v>1</v>
      </c>
      <c r="K15" s="1472">
        <f t="shared" si="0"/>
        <v>2</v>
      </c>
    </row>
    <row r="16" spans="1:22">
      <c r="A16" s="1825" t="s">
        <v>33</v>
      </c>
      <c r="B16" s="1469" t="s">
        <v>34</v>
      </c>
      <c r="D16" s="1470"/>
      <c r="E16" s="1470">
        <v>1</v>
      </c>
      <c r="F16" s="1470"/>
      <c r="G16" s="1470"/>
      <c r="H16" s="1470"/>
      <c r="I16" s="1471"/>
      <c r="J16" s="1829"/>
      <c r="K16" s="1472">
        <f t="shared" si="0"/>
        <v>1</v>
      </c>
      <c r="R16" s="1765">
        <f>4/40</f>
        <v>0.1</v>
      </c>
      <c r="V16" s="1765">
        <f>15/40</f>
        <v>0.375</v>
      </c>
    </row>
    <row r="17" spans="1:22" ht="26.4">
      <c r="A17" s="1825" t="s">
        <v>35</v>
      </c>
      <c r="B17" s="1473" t="s">
        <v>36</v>
      </c>
      <c r="C17" s="1470"/>
      <c r="D17" s="1470"/>
      <c r="E17" s="1470"/>
      <c r="F17" s="1470"/>
      <c r="G17" s="1470"/>
      <c r="H17" s="1470">
        <v>1</v>
      </c>
      <c r="I17" s="1471"/>
      <c r="J17" s="1829">
        <v>2</v>
      </c>
      <c r="K17" s="1472">
        <f t="shared" si="0"/>
        <v>3</v>
      </c>
      <c r="P17" s="1263">
        <f>14/59</f>
        <v>0.23728813559322035</v>
      </c>
      <c r="V17" s="1765">
        <f>6/40</f>
        <v>0.15</v>
      </c>
    </row>
    <row r="18" spans="1:22">
      <c r="A18" s="1825" t="s">
        <v>38</v>
      </c>
      <c r="B18" s="1473" t="s">
        <v>39</v>
      </c>
      <c r="C18" s="1470"/>
      <c r="D18" s="1470"/>
      <c r="E18" s="1470">
        <v>1</v>
      </c>
      <c r="F18" s="1470"/>
      <c r="G18" s="1470"/>
      <c r="H18" s="1470"/>
      <c r="I18" s="1471"/>
      <c r="J18" s="1829">
        <v>3</v>
      </c>
      <c r="K18" s="1472">
        <f t="shared" si="0"/>
        <v>4</v>
      </c>
    </row>
    <row r="19" spans="1:22" ht="39.6">
      <c r="A19" s="1825" t="s">
        <v>42</v>
      </c>
      <c r="B19" s="1473" t="s">
        <v>230</v>
      </c>
      <c r="C19" s="1470"/>
      <c r="D19" s="1470"/>
      <c r="E19" s="1470">
        <v>1</v>
      </c>
      <c r="F19" s="1470"/>
      <c r="G19" s="1470"/>
      <c r="H19" s="1470"/>
      <c r="I19" s="1471">
        <v>1</v>
      </c>
      <c r="J19" s="1829"/>
      <c r="K19" s="1472">
        <f t="shared" si="0"/>
        <v>2</v>
      </c>
      <c r="R19" s="1765">
        <f>13/40</f>
        <v>0.32500000000000001</v>
      </c>
    </row>
    <row r="20" spans="1:22" ht="26.4">
      <c r="A20" s="1825" t="s">
        <v>47</v>
      </c>
      <c r="B20" s="1473" t="s">
        <v>232</v>
      </c>
      <c r="C20" s="1470"/>
      <c r="D20" s="1470"/>
      <c r="E20" s="1470">
        <v>2</v>
      </c>
      <c r="F20" s="1470"/>
      <c r="G20" s="1470"/>
      <c r="H20" s="1470"/>
      <c r="I20" s="1471"/>
      <c r="J20" s="1829"/>
      <c r="K20" s="1472">
        <f t="shared" si="0"/>
        <v>2</v>
      </c>
    </row>
    <row r="21" spans="1:22">
      <c r="A21" s="1825" t="s">
        <v>54</v>
      </c>
      <c r="B21" s="1469" t="s">
        <v>55</v>
      </c>
      <c r="C21" s="1470"/>
      <c r="D21" s="1470"/>
      <c r="E21" s="1470"/>
      <c r="F21" s="1470"/>
      <c r="G21" s="1470"/>
      <c r="H21" s="1470"/>
      <c r="I21" s="1471"/>
      <c r="J21" s="1829">
        <v>1</v>
      </c>
      <c r="K21" s="1472">
        <f t="shared" si="0"/>
        <v>1</v>
      </c>
    </row>
    <row r="22" spans="1:22">
      <c r="A22" s="1825" t="s">
        <v>56</v>
      </c>
      <c r="B22" s="1469" t="s">
        <v>57</v>
      </c>
      <c r="C22" s="1470"/>
      <c r="D22" s="1470"/>
      <c r="E22" s="1470">
        <v>1</v>
      </c>
      <c r="F22" s="1470"/>
      <c r="G22" s="1470"/>
      <c r="H22" s="1470">
        <v>1</v>
      </c>
      <c r="I22" s="1471">
        <v>1</v>
      </c>
      <c r="J22" s="1829">
        <v>1</v>
      </c>
      <c r="K22" s="1472">
        <f t="shared" si="0"/>
        <v>4</v>
      </c>
    </row>
    <row r="23" spans="1:22">
      <c r="A23" s="1825" t="s">
        <v>76</v>
      </c>
      <c r="B23" s="1469" t="s">
        <v>77</v>
      </c>
      <c r="C23" s="1470"/>
      <c r="D23" s="1470"/>
      <c r="E23" s="1470"/>
      <c r="F23" s="1470"/>
      <c r="G23" s="1470"/>
      <c r="H23" s="1470">
        <v>1</v>
      </c>
      <c r="I23" s="1471"/>
      <c r="J23" s="1829"/>
      <c r="K23" s="1472">
        <f t="shared" si="0"/>
        <v>1</v>
      </c>
    </row>
    <row r="24" spans="1:22">
      <c r="A24" s="1825" t="s">
        <v>78</v>
      </c>
      <c r="B24" s="1469" t="s">
        <v>79</v>
      </c>
      <c r="C24" s="1470"/>
      <c r="D24" s="1470"/>
      <c r="E24" s="1470">
        <v>1</v>
      </c>
      <c r="F24" s="1470"/>
      <c r="G24" s="1470"/>
      <c r="H24" s="1470">
        <v>1</v>
      </c>
      <c r="I24" s="1471"/>
      <c r="J24" s="1829">
        <v>2</v>
      </c>
      <c r="K24" s="1472">
        <f t="shared" si="0"/>
        <v>4</v>
      </c>
      <c r="P24" s="1765">
        <f>6/40</f>
        <v>0.15</v>
      </c>
    </row>
    <row r="25" spans="1:22">
      <c r="A25" s="1825" t="s">
        <v>82</v>
      </c>
      <c r="B25" s="1469" t="s">
        <v>83</v>
      </c>
      <c r="C25" s="1470"/>
      <c r="D25" s="1470"/>
      <c r="E25" s="1470">
        <v>1</v>
      </c>
      <c r="F25" s="1470"/>
      <c r="G25" s="1470" t="s">
        <v>530</v>
      </c>
      <c r="H25" s="1470"/>
      <c r="I25" s="1471"/>
      <c r="J25" s="1829"/>
      <c r="K25" s="1472">
        <f t="shared" si="0"/>
        <v>1</v>
      </c>
    </row>
    <row r="26" spans="1:22">
      <c r="A26" s="1825" t="s">
        <v>85</v>
      </c>
      <c r="B26" s="1469" t="s">
        <v>86</v>
      </c>
      <c r="C26" s="1470"/>
      <c r="D26" s="1470"/>
      <c r="E26" s="1470"/>
      <c r="F26" s="1470"/>
      <c r="G26" s="1470"/>
      <c r="H26" s="1470"/>
      <c r="I26" s="1471">
        <v>1</v>
      </c>
      <c r="J26" s="1829"/>
      <c r="K26" s="1472">
        <f t="shared" si="0"/>
        <v>1</v>
      </c>
    </row>
    <row r="27" spans="1:22">
      <c r="A27" s="1825" t="s">
        <v>97</v>
      </c>
      <c r="B27" s="1469" t="s">
        <v>98</v>
      </c>
      <c r="C27" s="1470"/>
      <c r="D27" s="1470"/>
      <c r="E27" s="1470"/>
      <c r="F27" s="1470"/>
      <c r="G27" s="1470"/>
      <c r="H27" s="1470"/>
      <c r="I27" s="1471">
        <v>1</v>
      </c>
      <c r="J27" s="1829"/>
      <c r="K27" s="1472">
        <f t="shared" si="0"/>
        <v>1</v>
      </c>
    </row>
    <row r="28" spans="1:22">
      <c r="A28" s="1825" t="s">
        <v>99</v>
      </c>
      <c r="B28" s="1469" t="s">
        <v>100</v>
      </c>
      <c r="C28" s="1470"/>
      <c r="D28" s="1470"/>
      <c r="E28" s="1470">
        <v>1</v>
      </c>
      <c r="F28" s="1470"/>
      <c r="G28" s="1470"/>
      <c r="H28" s="1470"/>
      <c r="I28" s="1471">
        <v>1</v>
      </c>
      <c r="J28" s="1829"/>
      <c r="K28" s="1472">
        <f t="shared" si="0"/>
        <v>2</v>
      </c>
    </row>
    <row r="29" spans="1:22">
      <c r="A29" s="1405">
        <v>86</v>
      </c>
      <c r="B29" s="1469" t="s">
        <v>520</v>
      </c>
      <c r="C29" s="1470"/>
      <c r="D29" s="1981"/>
      <c r="E29" s="1470">
        <v>1</v>
      </c>
      <c r="F29" s="1982"/>
      <c r="G29" s="1470"/>
      <c r="H29" s="1470"/>
      <c r="I29" s="1471"/>
      <c r="J29" s="1829"/>
      <c r="K29" s="1472">
        <f>SUM(C29:J29)</f>
        <v>1</v>
      </c>
    </row>
    <row r="30" spans="1:22">
      <c r="A30" s="1824" t="s">
        <v>521</v>
      </c>
      <c r="B30" s="1474" t="s">
        <v>522</v>
      </c>
      <c r="C30" s="1470"/>
      <c r="D30" s="1470"/>
      <c r="E30" s="1470"/>
      <c r="F30" s="1470"/>
      <c r="G30" s="1470"/>
      <c r="H30" s="1470"/>
      <c r="I30" s="1471">
        <v>1</v>
      </c>
      <c r="J30" s="1829"/>
      <c r="K30" s="1472">
        <f t="shared" si="0"/>
        <v>1</v>
      </c>
    </row>
    <row r="31" spans="1:22" ht="13.8" thickBot="1">
      <c r="A31" s="2167" t="s">
        <v>105</v>
      </c>
      <c r="B31" s="2168"/>
      <c r="C31" s="1826">
        <f>SUM(C10:C30)</f>
        <v>0</v>
      </c>
      <c r="D31" s="1826">
        <f t="shared" ref="D31:J31" si="1">SUM(D10:D30)</f>
        <v>0</v>
      </c>
      <c r="E31" s="1826">
        <f>SUM(E10:E30)</f>
        <v>17</v>
      </c>
      <c r="F31" s="1826">
        <f t="shared" si="1"/>
        <v>0</v>
      </c>
      <c r="G31" s="1826">
        <f t="shared" si="1"/>
        <v>0</v>
      </c>
      <c r="H31" s="1826">
        <f t="shared" si="1"/>
        <v>4</v>
      </c>
      <c r="I31" s="1826">
        <f t="shared" si="1"/>
        <v>6</v>
      </c>
      <c r="J31" s="1826">
        <f t="shared" si="1"/>
        <v>13</v>
      </c>
      <c r="K31" s="1827">
        <f>SUM(K10:K30)</f>
        <v>40</v>
      </c>
    </row>
    <row r="33" spans="1:1">
      <c r="A33" s="1396" t="s">
        <v>736</v>
      </c>
    </row>
  </sheetData>
  <mergeCells count="2">
    <mergeCell ref="I1:J1"/>
    <mergeCell ref="A31:B31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85" orientation="landscape" r:id="rId1"/>
  <headerFooter alignWithMargins="0">
    <oddHeader>&amp;LDGRH A1-1</oddHeader>
    <oddFooter>&amp;CPage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Feuil17" enableFormatConditionsCalculation="0">
    <tabColor rgb="FFFFFF66"/>
  </sheetPr>
  <dimension ref="A1:R46"/>
  <sheetViews>
    <sheetView showZeros="0" zoomScale="115" zoomScaleNormal="115" workbookViewId="0">
      <selection activeCell="L18" sqref="L18"/>
    </sheetView>
  </sheetViews>
  <sheetFormatPr baseColWidth="10" defaultColWidth="11.44140625" defaultRowHeight="13.2"/>
  <cols>
    <col min="1" max="1" width="9.6640625" style="4" customWidth="1"/>
    <col min="2" max="2" width="53.6640625" style="4" customWidth="1"/>
    <col min="3" max="3" width="10.44140625" style="4" customWidth="1"/>
    <col min="4" max="5" width="9.5546875" style="4" customWidth="1"/>
    <col min="6" max="6" width="9.44140625" style="16" customWidth="1"/>
    <col min="7" max="7" width="9.5546875" style="4" customWidth="1"/>
    <col min="8" max="8" width="15.33203125" style="4" customWidth="1"/>
    <col min="9" max="9" width="14.6640625" style="4" customWidth="1"/>
    <col min="10" max="10" width="13.33203125" customWidth="1"/>
    <col min="11" max="16" width="6.44140625" customWidth="1"/>
    <col min="17" max="17" width="6.44140625" style="4" customWidth="1"/>
    <col min="18" max="16384" width="11.44140625" style="4"/>
  </cols>
  <sheetData>
    <row r="1" spans="1:18" ht="15.75" customHeight="1">
      <c r="A1" s="113"/>
      <c r="H1" s="2191"/>
      <c r="I1" s="2191"/>
    </row>
    <row r="2" spans="1:18" s="26" customFormat="1" ht="20.25" customHeight="1">
      <c r="A2" s="2107" t="str">
        <f>'fiche technique'!A5</f>
        <v>Bilan de la campagne 2014 de recrutement et d'affectation des professeurs des universités (session synchronisée - ANTEE)</v>
      </c>
      <c r="B2" s="2107"/>
      <c r="C2" s="2107"/>
      <c r="D2" s="2107"/>
      <c r="E2" s="2107"/>
      <c r="F2" s="2107"/>
      <c r="G2" s="2107"/>
      <c r="H2" s="2107"/>
      <c r="I2" s="2107"/>
      <c r="J2" s="2107"/>
      <c r="K2"/>
      <c r="L2"/>
      <c r="M2"/>
      <c r="N2"/>
      <c r="O2"/>
      <c r="P2"/>
    </row>
    <row r="3" spans="1:18" s="26" customFormat="1" ht="15.75" customHeight="1">
      <c r="A3" s="18"/>
      <c r="B3" s="18"/>
      <c r="C3" s="18"/>
      <c r="D3" s="18"/>
      <c r="E3" s="18"/>
      <c r="F3" s="22"/>
      <c r="G3" s="18"/>
      <c r="H3" s="18"/>
      <c r="I3" s="18"/>
      <c r="J3"/>
      <c r="K3"/>
      <c r="L3"/>
      <c r="M3"/>
      <c r="N3"/>
      <c r="O3"/>
      <c r="P3"/>
    </row>
    <row r="4" spans="1:18" s="26" customFormat="1" ht="20.25" customHeight="1">
      <c r="A4" s="177" t="s">
        <v>942</v>
      </c>
      <c r="B4" s="177"/>
      <c r="C4" s="177"/>
      <c r="D4" s="177"/>
      <c r="E4" s="177"/>
      <c r="F4" s="178"/>
      <c r="G4" s="140"/>
      <c r="H4" s="140"/>
      <c r="I4" s="140"/>
      <c r="J4"/>
      <c r="K4"/>
      <c r="L4"/>
      <c r="M4"/>
      <c r="N4"/>
      <c r="O4"/>
      <c r="P4"/>
    </row>
    <row r="5" spans="1:18" s="7" customFormat="1" ht="20.25" customHeight="1">
      <c r="A5" s="2192" t="s">
        <v>235</v>
      </c>
      <c r="B5" s="2192"/>
      <c r="C5" s="2192"/>
      <c r="D5" s="2192"/>
      <c r="E5" s="2192"/>
      <c r="F5" s="2192"/>
      <c r="G5" s="2192"/>
      <c r="H5" s="2192"/>
      <c r="I5" s="2192"/>
      <c r="J5" s="2192"/>
      <c r="K5"/>
      <c r="L5"/>
      <c r="M5"/>
      <c r="N5"/>
      <c r="O5"/>
      <c r="P5"/>
    </row>
    <row r="6" spans="1:18" s="2" customFormat="1" ht="15.75" customHeight="1">
      <c r="A6" s="12"/>
      <c r="B6" s="9"/>
      <c r="C6" s="9"/>
      <c r="D6" s="9"/>
      <c r="E6" s="9"/>
      <c r="F6" s="15"/>
      <c r="G6" s="3"/>
      <c r="H6" s="3"/>
      <c r="I6" s="3"/>
      <c r="J6"/>
      <c r="K6"/>
      <c r="L6"/>
      <c r="M6"/>
      <c r="N6"/>
      <c r="O6"/>
      <c r="P6"/>
    </row>
    <row r="7" spans="1:18" s="26" customFormat="1" ht="20.25" customHeight="1">
      <c r="A7" s="18" t="s">
        <v>1024</v>
      </c>
      <c r="B7" s="51"/>
      <c r="C7" s="51"/>
      <c r="D7" s="51"/>
      <c r="E7" s="51"/>
      <c r="F7" s="53"/>
      <c r="G7" s="18"/>
      <c r="H7" s="18"/>
      <c r="I7" s="18"/>
      <c r="J7"/>
      <c r="K7"/>
      <c r="L7"/>
      <c r="M7"/>
      <c r="N7"/>
      <c r="O7"/>
      <c r="P7"/>
    </row>
    <row r="8" spans="1:18" ht="15.75" customHeight="1" thickBot="1">
      <c r="A8" s="13"/>
      <c r="B8" s="13"/>
      <c r="C8"/>
      <c r="D8"/>
      <c r="E8"/>
      <c r="F8"/>
      <c r="G8"/>
      <c r="H8"/>
      <c r="I8"/>
      <c r="P8" s="10"/>
    </row>
    <row r="9" spans="1:18" ht="82.5" customHeight="1">
      <c r="A9" s="1886" t="s">
        <v>8</v>
      </c>
      <c r="B9" s="1887" t="s">
        <v>125</v>
      </c>
      <c r="C9" s="179" t="s">
        <v>136</v>
      </c>
      <c r="D9" s="179" t="s">
        <v>524</v>
      </c>
      <c r="E9" s="179" t="s">
        <v>225</v>
      </c>
      <c r="F9" s="179" t="s">
        <v>526</v>
      </c>
      <c r="G9" s="179" t="s">
        <v>527</v>
      </c>
      <c r="H9" s="179" t="s">
        <v>528</v>
      </c>
      <c r="I9" s="490" t="s">
        <v>137</v>
      </c>
      <c r="M9">
        <f>17+1</f>
        <v>18</v>
      </c>
      <c r="P9" s="10"/>
      <c r="Q9" s="10"/>
      <c r="R9" s="10"/>
    </row>
    <row r="10" spans="1:18" s="10" customFormat="1">
      <c r="A10" s="175" t="s">
        <v>23</v>
      </c>
      <c r="B10" s="172" t="s">
        <v>24</v>
      </c>
      <c r="C10" s="1221"/>
      <c r="D10" s="1221"/>
      <c r="E10" s="1221"/>
      <c r="F10" s="1221">
        <v>1</v>
      </c>
      <c r="G10" s="1221"/>
      <c r="H10" s="1221"/>
      <c r="I10" s="1000">
        <f>SUM(C10:H10)</f>
        <v>1</v>
      </c>
      <c r="J10"/>
      <c r="K10"/>
      <c r="L10"/>
      <c r="M10"/>
      <c r="N10"/>
      <c r="O10"/>
      <c r="R10" s="10">
        <v>1</v>
      </c>
    </row>
    <row r="11" spans="1:18" s="10" customFormat="1">
      <c r="A11" s="175" t="s">
        <v>29</v>
      </c>
      <c r="B11" s="172" t="s">
        <v>30</v>
      </c>
      <c r="C11" s="1221">
        <v>1</v>
      </c>
      <c r="D11" s="1221">
        <v>2</v>
      </c>
      <c r="E11" s="1221"/>
      <c r="F11" s="1221"/>
      <c r="G11" s="1221"/>
      <c r="H11" s="1221">
        <v>2</v>
      </c>
      <c r="I11" s="1000">
        <f t="shared" ref="I11:I30" si="0">SUM(C11:H11)</f>
        <v>5</v>
      </c>
      <c r="J11"/>
      <c r="K11"/>
      <c r="L11"/>
      <c r="M11"/>
      <c r="N11"/>
      <c r="O11"/>
      <c r="R11" s="10">
        <v>5</v>
      </c>
    </row>
    <row r="12" spans="1:18" s="10" customFormat="1" ht="24">
      <c r="A12" s="175" t="s">
        <v>35</v>
      </c>
      <c r="B12" s="174" t="s">
        <v>36</v>
      </c>
      <c r="C12" s="1221"/>
      <c r="D12" s="1221">
        <v>2</v>
      </c>
      <c r="E12" s="1221"/>
      <c r="F12" s="1221"/>
      <c r="G12" s="1221"/>
      <c r="H12" s="1221"/>
      <c r="I12" s="1000">
        <f t="shared" si="0"/>
        <v>2</v>
      </c>
      <c r="J12"/>
      <c r="K12"/>
      <c r="L12"/>
      <c r="M12"/>
      <c r="N12"/>
      <c r="O12"/>
      <c r="R12" s="10">
        <v>2</v>
      </c>
    </row>
    <row r="13" spans="1:18" s="10" customFormat="1" ht="24">
      <c r="A13" s="175" t="s">
        <v>37</v>
      </c>
      <c r="B13" s="174" t="s">
        <v>122</v>
      </c>
      <c r="C13" s="1221"/>
      <c r="D13" s="1221">
        <v>3</v>
      </c>
      <c r="E13" s="1221"/>
      <c r="F13" s="1221"/>
      <c r="G13" s="1221"/>
      <c r="H13" s="1221"/>
      <c r="I13" s="1000">
        <f t="shared" si="0"/>
        <v>3</v>
      </c>
      <c r="J13"/>
      <c r="K13"/>
      <c r="L13"/>
      <c r="M13"/>
      <c r="N13"/>
      <c r="O13"/>
      <c r="R13" s="10">
        <v>3</v>
      </c>
    </row>
    <row r="14" spans="1:18" s="10" customFormat="1">
      <c r="A14" s="175" t="s">
        <v>38</v>
      </c>
      <c r="B14" s="174" t="s">
        <v>39</v>
      </c>
      <c r="C14" s="1221">
        <v>2</v>
      </c>
      <c r="D14" s="1221">
        <v>3</v>
      </c>
      <c r="E14" s="1221"/>
      <c r="F14" s="1221"/>
      <c r="G14" s="1221"/>
      <c r="H14" s="1221">
        <v>3</v>
      </c>
      <c r="I14" s="1000">
        <f t="shared" si="0"/>
        <v>8</v>
      </c>
      <c r="J14"/>
      <c r="K14"/>
      <c r="L14"/>
      <c r="M14"/>
      <c r="N14"/>
      <c r="O14"/>
      <c r="R14" s="10">
        <v>8</v>
      </c>
    </row>
    <row r="15" spans="1:18" s="10" customFormat="1">
      <c r="A15" s="175" t="s">
        <v>40</v>
      </c>
      <c r="B15" s="174" t="s">
        <v>41</v>
      </c>
      <c r="C15" s="1221"/>
      <c r="D15" s="1221">
        <v>1</v>
      </c>
      <c r="E15" s="1221"/>
      <c r="F15" s="1221"/>
      <c r="G15" s="1221"/>
      <c r="H15" s="1221"/>
      <c r="I15" s="1000">
        <f t="shared" si="0"/>
        <v>1</v>
      </c>
      <c r="J15"/>
      <c r="K15"/>
      <c r="L15"/>
      <c r="M15"/>
      <c r="N15"/>
      <c r="O15"/>
      <c r="R15" s="10">
        <v>1</v>
      </c>
    </row>
    <row r="16" spans="1:18" s="10" customFormat="1" ht="36">
      <c r="A16" s="175" t="s">
        <v>42</v>
      </c>
      <c r="B16" s="174" t="s">
        <v>230</v>
      </c>
      <c r="C16" s="1221"/>
      <c r="D16" s="1221">
        <v>1</v>
      </c>
      <c r="E16" s="1221"/>
      <c r="F16" s="1221"/>
      <c r="G16" s="1221"/>
      <c r="H16" s="1221">
        <v>1</v>
      </c>
      <c r="I16" s="1000">
        <f t="shared" si="0"/>
        <v>2</v>
      </c>
      <c r="J16"/>
      <c r="K16"/>
      <c r="L16"/>
      <c r="M16"/>
      <c r="N16" s="1788">
        <f>48/549</f>
        <v>8.7431693989071038E-2</v>
      </c>
      <c r="O16"/>
      <c r="R16" s="10">
        <v>2</v>
      </c>
    </row>
    <row r="17" spans="1:18" s="10" customFormat="1">
      <c r="A17" s="175" t="s">
        <v>43</v>
      </c>
      <c r="B17" s="174" t="s">
        <v>44</v>
      </c>
      <c r="C17" s="1221"/>
      <c r="D17" s="1221">
        <v>1</v>
      </c>
      <c r="E17" s="1221"/>
      <c r="F17" s="1221"/>
      <c r="G17" s="1221"/>
      <c r="H17" s="1221"/>
      <c r="I17" s="1000">
        <f t="shared" si="0"/>
        <v>1</v>
      </c>
      <c r="J17"/>
      <c r="K17"/>
      <c r="L17"/>
      <c r="M17"/>
      <c r="N17"/>
      <c r="O17"/>
      <c r="R17" s="10">
        <v>1</v>
      </c>
    </row>
    <row r="18" spans="1:18" s="10" customFormat="1" ht="24">
      <c r="A18" s="175" t="s">
        <v>46</v>
      </c>
      <c r="B18" s="174" t="s">
        <v>231</v>
      </c>
      <c r="C18" s="1221"/>
      <c r="D18" s="1221">
        <v>3</v>
      </c>
      <c r="E18" s="1221"/>
      <c r="F18" s="1221"/>
      <c r="G18" s="1221"/>
      <c r="H18" s="1221"/>
      <c r="I18" s="1000">
        <f t="shared" si="0"/>
        <v>3</v>
      </c>
      <c r="J18"/>
      <c r="K18"/>
      <c r="L18"/>
      <c r="M18"/>
      <c r="N18"/>
      <c r="O18"/>
      <c r="P18" s="1756">
        <f>32/48</f>
        <v>0.66666666666666663</v>
      </c>
      <c r="R18" s="10">
        <v>3</v>
      </c>
    </row>
    <row r="19" spans="1:18" s="10" customFormat="1">
      <c r="A19" s="175" t="s">
        <v>48</v>
      </c>
      <c r="B19" s="174" t="s">
        <v>49</v>
      </c>
      <c r="C19" s="1221"/>
      <c r="D19" s="1221"/>
      <c r="E19" s="1221"/>
      <c r="F19" s="1221"/>
      <c r="G19" s="1221"/>
      <c r="H19" s="1221">
        <v>1</v>
      </c>
      <c r="I19" s="1000">
        <f t="shared" si="0"/>
        <v>1</v>
      </c>
      <c r="J19"/>
      <c r="K19"/>
      <c r="L19"/>
      <c r="M19"/>
      <c r="N19"/>
      <c r="O19"/>
      <c r="R19" s="10">
        <v>1</v>
      </c>
    </row>
    <row r="20" spans="1:18" s="10" customFormat="1">
      <c r="A20" s="175" t="s">
        <v>50</v>
      </c>
      <c r="B20" s="174" t="s">
        <v>51</v>
      </c>
      <c r="C20" s="1221"/>
      <c r="D20" s="1221">
        <v>1</v>
      </c>
      <c r="E20" s="1221"/>
      <c r="F20" s="1221"/>
      <c r="G20" s="1221"/>
      <c r="H20" s="1221"/>
      <c r="I20" s="1000">
        <f t="shared" si="0"/>
        <v>1</v>
      </c>
      <c r="J20"/>
      <c r="K20"/>
      <c r="L20"/>
      <c r="M20"/>
      <c r="N20"/>
      <c r="O20"/>
      <c r="R20" s="10">
        <v>1</v>
      </c>
    </row>
    <row r="21" spans="1:18" s="10" customFormat="1">
      <c r="A21" s="175" t="s">
        <v>74</v>
      </c>
      <c r="B21" s="174" t="s">
        <v>75</v>
      </c>
      <c r="C21" s="1221"/>
      <c r="D21" s="1221"/>
      <c r="E21" s="1221"/>
      <c r="F21" s="1221"/>
      <c r="G21" s="1221"/>
      <c r="H21" s="1221">
        <v>1</v>
      </c>
      <c r="I21" s="1000">
        <f t="shared" si="0"/>
        <v>1</v>
      </c>
      <c r="J21"/>
      <c r="K21"/>
      <c r="L21"/>
      <c r="M21">
        <v>1</v>
      </c>
      <c r="N21"/>
      <c r="O21"/>
      <c r="R21" s="10">
        <f>SUM(R10:R20)</f>
        <v>28</v>
      </c>
    </row>
    <row r="22" spans="1:18" s="10" customFormat="1">
      <c r="A22" s="175" t="s">
        <v>78</v>
      </c>
      <c r="B22" s="172" t="s">
        <v>79</v>
      </c>
      <c r="C22" s="1221"/>
      <c r="D22" s="1221">
        <v>4</v>
      </c>
      <c r="E22" s="1221"/>
      <c r="F22" s="1221"/>
      <c r="G22" s="1221"/>
      <c r="H22" s="1221"/>
      <c r="I22" s="1000">
        <f t="shared" si="0"/>
        <v>4</v>
      </c>
      <c r="J22"/>
      <c r="K22"/>
      <c r="L22"/>
      <c r="M22">
        <v>4</v>
      </c>
      <c r="N22"/>
      <c r="O22"/>
    </row>
    <row r="23" spans="1:18" s="10" customFormat="1">
      <c r="A23" s="175" t="s">
        <v>85</v>
      </c>
      <c r="B23" s="172" t="s">
        <v>86</v>
      </c>
      <c r="C23" s="1221"/>
      <c r="D23" s="1221">
        <v>1</v>
      </c>
      <c r="E23" s="1221"/>
      <c r="F23" s="1221"/>
      <c r="G23" s="1221"/>
      <c r="H23" s="1221"/>
      <c r="I23" s="1000">
        <f t="shared" si="0"/>
        <v>1</v>
      </c>
      <c r="J23"/>
      <c r="K23"/>
      <c r="L23"/>
      <c r="M23">
        <v>1</v>
      </c>
      <c r="N23" s="1799"/>
      <c r="O23"/>
      <c r="R23" s="10">
        <f>28+10</f>
        <v>38</v>
      </c>
    </row>
    <row r="24" spans="1:18" s="10" customFormat="1">
      <c r="A24" s="175" t="s">
        <v>87</v>
      </c>
      <c r="B24" s="172" t="s">
        <v>88</v>
      </c>
      <c r="C24" s="1221"/>
      <c r="D24" s="1221"/>
      <c r="E24" s="1221">
        <v>1</v>
      </c>
      <c r="F24" s="1221"/>
      <c r="G24" s="1221"/>
      <c r="H24" s="1221"/>
      <c r="I24" s="1000">
        <f t="shared" si="0"/>
        <v>1</v>
      </c>
      <c r="J24"/>
      <c r="K24"/>
      <c r="L24"/>
      <c r="M24">
        <v>1</v>
      </c>
      <c r="N24"/>
      <c r="O24"/>
    </row>
    <row r="25" spans="1:18" s="10" customFormat="1">
      <c r="A25" s="175" t="s">
        <v>91</v>
      </c>
      <c r="B25" s="172" t="s">
        <v>92</v>
      </c>
      <c r="C25" s="1221"/>
      <c r="D25" s="1221"/>
      <c r="E25" s="1221"/>
      <c r="F25" s="1221">
        <v>1</v>
      </c>
      <c r="G25" s="1221"/>
      <c r="H25" s="1221"/>
      <c r="I25" s="1000">
        <f t="shared" si="0"/>
        <v>1</v>
      </c>
      <c r="J25"/>
      <c r="K25"/>
      <c r="L25"/>
      <c r="M25">
        <v>1</v>
      </c>
      <c r="N25"/>
      <c r="O25"/>
    </row>
    <row r="26" spans="1:18" s="10" customFormat="1">
      <c r="A26" s="175" t="s">
        <v>95</v>
      </c>
      <c r="B26" s="172" t="s">
        <v>96</v>
      </c>
      <c r="C26" s="1221"/>
      <c r="D26" s="1221"/>
      <c r="E26" s="1221"/>
      <c r="F26" s="1221"/>
      <c r="G26" s="1221">
        <v>1</v>
      </c>
      <c r="H26" s="1221"/>
      <c r="I26" s="1000">
        <f t="shared" si="0"/>
        <v>1</v>
      </c>
      <c r="J26"/>
      <c r="K26"/>
      <c r="L26"/>
      <c r="M26">
        <v>1</v>
      </c>
      <c r="N26" s="1788">
        <f>3/48</f>
        <v>6.25E-2</v>
      </c>
      <c r="O26"/>
      <c r="R26" s="1798">
        <f>38/48</f>
        <v>0.79166666666666663</v>
      </c>
    </row>
    <row r="27" spans="1:18" s="10" customFormat="1">
      <c r="A27" s="175" t="s">
        <v>97</v>
      </c>
      <c r="B27" s="172" t="s">
        <v>98</v>
      </c>
      <c r="C27" s="1221"/>
      <c r="D27" s="1221">
        <v>4</v>
      </c>
      <c r="E27" s="1221"/>
      <c r="F27" s="1221"/>
      <c r="G27" s="1221"/>
      <c r="H27" s="1221">
        <v>1</v>
      </c>
      <c r="I27" s="1000">
        <f t="shared" si="0"/>
        <v>5</v>
      </c>
      <c r="J27"/>
      <c r="K27"/>
      <c r="L27"/>
      <c r="M27" s="1800">
        <f>SUM(M21:M26)</f>
        <v>9</v>
      </c>
      <c r="N27" s="1797">
        <f>11/48</f>
        <v>0.22916666666666666</v>
      </c>
      <c r="O27"/>
    </row>
    <row r="28" spans="1:18" s="10" customFormat="1">
      <c r="A28" s="175" t="s">
        <v>99</v>
      </c>
      <c r="B28" s="172" t="s">
        <v>100</v>
      </c>
      <c r="C28" s="1221"/>
      <c r="D28" s="1221">
        <v>2</v>
      </c>
      <c r="E28" s="1221"/>
      <c r="F28" s="1221"/>
      <c r="G28" s="1221"/>
      <c r="H28" s="1221">
        <v>2</v>
      </c>
      <c r="I28" s="1000">
        <f t="shared" si="0"/>
        <v>4</v>
      </c>
      <c r="J28"/>
      <c r="K28"/>
      <c r="L28"/>
      <c r="M28"/>
      <c r="N28"/>
      <c r="O28"/>
    </row>
    <row r="29" spans="1:18" s="10" customFormat="1">
      <c r="A29" s="1920">
        <v>74</v>
      </c>
      <c r="B29" s="172" t="s">
        <v>104</v>
      </c>
      <c r="C29" s="1221"/>
      <c r="D29" s="1983">
        <v>1</v>
      </c>
      <c r="E29" s="1985"/>
      <c r="F29" s="1984"/>
      <c r="G29" s="1221"/>
      <c r="H29" s="1221"/>
      <c r="I29" s="1000">
        <f t="shared" si="0"/>
        <v>1</v>
      </c>
      <c r="J29"/>
      <c r="K29"/>
      <c r="L29"/>
      <c r="M29"/>
      <c r="N29"/>
      <c r="O29"/>
      <c r="Q29" s="1756">
        <f>9/48</f>
        <v>0.1875</v>
      </c>
    </row>
    <row r="30" spans="1:18" s="10" customFormat="1">
      <c r="A30" s="175" t="s">
        <v>521</v>
      </c>
      <c r="B30" s="172" t="s">
        <v>522</v>
      </c>
      <c r="C30" s="1221"/>
      <c r="D30" s="1221">
        <v>1</v>
      </c>
      <c r="E30" s="1221"/>
      <c r="F30" s="1221"/>
      <c r="G30" s="1221"/>
      <c r="H30" s="1221"/>
      <c r="I30" s="1000">
        <f t="shared" si="0"/>
        <v>1</v>
      </c>
      <c r="J30"/>
      <c r="K30"/>
      <c r="L30"/>
      <c r="M30"/>
      <c r="N30"/>
      <c r="O30"/>
    </row>
    <row r="31" spans="1:18" s="10" customFormat="1" ht="13.8" thickBot="1">
      <c r="A31" s="2193" t="s">
        <v>105</v>
      </c>
      <c r="B31" s="2194"/>
      <c r="C31" s="1184">
        <f t="shared" ref="C31:I31" si="1">SUM(C10:C30)</f>
        <v>3</v>
      </c>
      <c r="D31" s="1184">
        <f t="shared" si="1"/>
        <v>30</v>
      </c>
      <c r="E31" s="1184">
        <f t="shared" si="1"/>
        <v>1</v>
      </c>
      <c r="F31" s="1184">
        <f t="shared" si="1"/>
        <v>2</v>
      </c>
      <c r="G31" s="1184">
        <f t="shared" si="1"/>
        <v>1</v>
      </c>
      <c r="H31" s="1184">
        <f t="shared" si="1"/>
        <v>11</v>
      </c>
      <c r="I31" s="1831">
        <f t="shared" si="1"/>
        <v>48</v>
      </c>
      <c r="J31"/>
      <c r="K31"/>
      <c r="L31"/>
      <c r="M31"/>
      <c r="N31"/>
      <c r="O31"/>
    </row>
    <row r="32" spans="1:18" s="10" customFormat="1" ht="13.8" thickBot="1">
      <c r="A32" s="459" t="str">
        <f>'fiche technique'!A9</f>
        <v>Source: GALAXIE (ANTARES-ANTEE &amp; FIDIS), DGRH A1-1 &amp; DGRH A2, juin 2014</v>
      </c>
      <c r="B32" s="1888"/>
      <c r="C32" s="1833">
        <f t="shared" ref="C32:H32" si="2">C31/$I$31</f>
        <v>6.25E-2</v>
      </c>
      <c r="D32" s="1834">
        <f t="shared" si="2"/>
        <v>0.625</v>
      </c>
      <c r="E32" s="1834">
        <f t="shared" si="2"/>
        <v>2.0833333333333332E-2</v>
      </c>
      <c r="F32" s="1835">
        <f t="shared" si="2"/>
        <v>4.1666666666666664E-2</v>
      </c>
      <c r="G32" s="1835">
        <f t="shared" si="2"/>
        <v>2.0833333333333332E-2</v>
      </c>
      <c r="H32" s="1836">
        <f t="shared" si="2"/>
        <v>0.22916666666666666</v>
      </c>
      <c r="I32" s="1832"/>
      <c r="J32"/>
      <c r="K32"/>
      <c r="L32"/>
      <c r="M32"/>
      <c r="N32"/>
      <c r="O32"/>
    </row>
    <row r="33" spans="1:18" s="10" customFormat="1">
      <c r="A33" s="4"/>
      <c r="B33" s="4"/>
      <c r="C33" s="4"/>
      <c r="D33" s="4"/>
      <c r="E33" s="4"/>
      <c r="F33" s="16"/>
      <c r="G33" s="1"/>
      <c r="H33" s="1"/>
      <c r="I33" s="1"/>
      <c r="J33"/>
      <c r="K33"/>
      <c r="L33"/>
      <c r="M33"/>
      <c r="N33"/>
      <c r="O33"/>
    </row>
    <row r="34" spans="1:18" s="10" customFormat="1">
      <c r="A34" s="4"/>
      <c r="B34" s="1573"/>
      <c r="C34" s="4"/>
      <c r="D34" s="4"/>
      <c r="E34" s="4"/>
      <c r="F34" s="16"/>
      <c r="G34" s="1"/>
      <c r="H34" s="1"/>
      <c r="I34" s="1"/>
      <c r="J34"/>
      <c r="K34"/>
      <c r="L34"/>
      <c r="M34"/>
      <c r="N34"/>
      <c r="O34"/>
    </row>
    <row r="35" spans="1:18" s="10" customFormat="1">
      <c r="A35" s="4"/>
      <c r="B35" s="4"/>
      <c r="C35" s="4"/>
      <c r="D35" s="4"/>
      <c r="E35" s="4"/>
      <c r="F35" s="16"/>
      <c r="G35" s="4"/>
      <c r="H35" s="4"/>
      <c r="I35" s="4"/>
      <c r="J35"/>
      <c r="K35"/>
      <c r="L35"/>
      <c r="M35"/>
      <c r="N35"/>
      <c r="O35"/>
    </row>
    <row r="36" spans="1:18" s="10" customFormat="1">
      <c r="A36" s="4"/>
      <c r="B36" s="4"/>
      <c r="C36" s="4"/>
      <c r="D36" s="4"/>
      <c r="E36" s="4"/>
      <c r="F36" s="16"/>
      <c r="G36" s="4"/>
      <c r="H36" s="4"/>
      <c r="I36" s="4"/>
      <c r="J36"/>
      <c r="K36"/>
      <c r="L36"/>
      <c r="M36"/>
      <c r="N36"/>
      <c r="O36"/>
    </row>
    <row r="37" spans="1:18" s="10" customFormat="1">
      <c r="A37" s="4"/>
      <c r="B37" s="4"/>
      <c r="C37" s="4"/>
      <c r="D37" s="4"/>
      <c r="E37" s="4"/>
      <c r="F37" s="16"/>
      <c r="G37" s="4"/>
      <c r="H37" s="4"/>
      <c r="I37" s="4"/>
      <c r="J37"/>
      <c r="K37"/>
      <c r="L37"/>
      <c r="M37"/>
      <c r="N37"/>
      <c r="O37"/>
    </row>
    <row r="38" spans="1:18" s="10" customFormat="1">
      <c r="A38" s="4"/>
      <c r="B38" s="4"/>
      <c r="C38" s="4"/>
      <c r="D38" s="4"/>
      <c r="E38" s="4"/>
      <c r="F38" s="16"/>
      <c r="G38" s="4"/>
      <c r="H38" s="4"/>
      <c r="I38" s="4"/>
      <c r="J38"/>
      <c r="K38"/>
      <c r="L38"/>
      <c r="M38"/>
      <c r="N38"/>
      <c r="O38"/>
    </row>
    <row r="39" spans="1:18" s="10" customFormat="1">
      <c r="A39" s="4"/>
      <c r="B39" s="4"/>
      <c r="C39" s="4"/>
      <c r="D39" s="4"/>
      <c r="E39" s="4"/>
      <c r="F39" s="16"/>
      <c r="G39" s="4"/>
      <c r="H39" s="4"/>
      <c r="I39" s="4"/>
      <c r="J39"/>
      <c r="K39"/>
      <c r="L39"/>
      <c r="M39"/>
      <c r="N39"/>
      <c r="O39"/>
    </row>
    <row r="40" spans="1:18" s="10" customFormat="1">
      <c r="A40" s="4"/>
      <c r="B40" s="4"/>
      <c r="C40" s="4"/>
      <c r="D40" s="4"/>
      <c r="E40" s="4"/>
      <c r="F40" s="16"/>
      <c r="G40" s="4"/>
      <c r="H40" s="4"/>
      <c r="I40" s="4"/>
      <c r="J40"/>
      <c r="K40"/>
      <c r="L40"/>
      <c r="M40"/>
      <c r="N40"/>
      <c r="O40"/>
    </row>
    <row r="41" spans="1:18" s="10" customFormat="1">
      <c r="A41" s="4"/>
      <c r="B41" s="4"/>
      <c r="C41" s="4"/>
      <c r="D41" s="4"/>
      <c r="E41" s="4"/>
      <c r="F41" s="16"/>
      <c r="G41" s="4"/>
      <c r="H41" s="4"/>
      <c r="I41" s="4"/>
      <c r="J41"/>
      <c r="K41"/>
      <c r="L41"/>
      <c r="M41"/>
      <c r="N41"/>
      <c r="O41"/>
    </row>
    <row r="42" spans="1:18" s="10" customFormat="1">
      <c r="A42" s="4"/>
      <c r="B42" s="4"/>
      <c r="C42" s="4"/>
      <c r="D42" s="4"/>
      <c r="E42" s="4"/>
      <c r="F42" s="16"/>
      <c r="G42" s="4"/>
      <c r="H42" s="4"/>
      <c r="I42" s="4"/>
      <c r="J42"/>
      <c r="K42"/>
      <c r="L42"/>
      <c r="M42"/>
      <c r="N42"/>
      <c r="O42"/>
    </row>
    <row r="43" spans="1:18" s="10" customFormat="1">
      <c r="A43" s="4"/>
      <c r="B43" s="4"/>
      <c r="C43" s="4"/>
      <c r="D43" s="4"/>
      <c r="E43" s="4"/>
      <c r="F43" s="16"/>
      <c r="G43" s="4"/>
      <c r="H43" s="4"/>
      <c r="I43" s="4"/>
      <c r="J43"/>
      <c r="K43"/>
      <c r="L43"/>
      <c r="M43"/>
      <c r="N43"/>
      <c r="O43"/>
      <c r="P43"/>
    </row>
    <row r="44" spans="1:18" s="10" customFormat="1">
      <c r="A44" s="4"/>
      <c r="B44" s="4"/>
      <c r="C44" s="4"/>
      <c r="D44" s="4"/>
      <c r="E44" s="4"/>
      <c r="F44" s="16"/>
      <c r="G44" s="4"/>
      <c r="H44" s="4"/>
      <c r="I44" s="4"/>
      <c r="J44"/>
      <c r="K44"/>
      <c r="L44"/>
      <c r="M44"/>
      <c r="N44"/>
      <c r="O44"/>
      <c r="P44"/>
    </row>
    <row r="45" spans="1:18" s="10" customFormat="1">
      <c r="A45" s="4"/>
      <c r="B45" s="4"/>
      <c r="C45" s="4"/>
      <c r="D45" s="4"/>
      <c r="E45" s="4"/>
      <c r="F45" s="16"/>
      <c r="G45" s="4"/>
      <c r="H45" s="4"/>
      <c r="I45" s="4"/>
      <c r="J45"/>
      <c r="K45"/>
      <c r="L45"/>
      <c r="M45"/>
      <c r="N45"/>
      <c r="O45"/>
      <c r="P45"/>
      <c r="R45" s="4"/>
    </row>
    <row r="46" spans="1:18" ht="15.75" customHeight="1"/>
  </sheetData>
  <mergeCells count="4">
    <mergeCell ref="H1:I1"/>
    <mergeCell ref="A5:J5"/>
    <mergeCell ref="A2:J2"/>
    <mergeCell ref="A31:B31"/>
  </mergeCells>
  <phoneticPr fontId="0" type="noConversion"/>
  <printOptions horizontalCentered="1"/>
  <pageMargins left="0.19685039370078741" right="0.19685039370078741" top="0.59055118110236227" bottom="0.59055118110236227" header="0.31496062992125984" footer="0.31496062992125984"/>
  <pageSetup paperSize="9" scale="90" orientation="landscape" r:id="rId1"/>
  <headerFooter alignWithMargins="0">
    <oddHeader>&amp;LDGRH A1-1</oddHeader>
    <oddFooter>&amp;CPage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Feuil53">
    <tabColor rgb="FFFFFF66"/>
  </sheetPr>
  <dimension ref="A1:P29"/>
  <sheetViews>
    <sheetView showZeros="0" workbookViewId="0">
      <selection activeCell="L18" sqref="L18"/>
    </sheetView>
  </sheetViews>
  <sheetFormatPr baseColWidth="10" defaultColWidth="11.44140625" defaultRowHeight="13.2"/>
  <cols>
    <col min="1" max="1" width="9.6640625" style="4" customWidth="1"/>
    <col min="2" max="2" width="37" style="4" customWidth="1"/>
    <col min="3" max="3" width="10.6640625" style="4" customWidth="1"/>
    <col min="4" max="4" width="10.6640625" style="16" customWidth="1"/>
    <col min="5" max="6" width="10.6640625" style="4" customWidth="1"/>
    <col min="7" max="8" width="6.44140625" customWidth="1"/>
    <col min="9" max="9" width="6.44140625" style="4" customWidth="1"/>
    <col min="10" max="13" width="6.44140625" customWidth="1"/>
    <col min="14" max="14" width="6.44140625" style="4" customWidth="1"/>
    <col min="15" max="16384" width="11.44140625" style="4"/>
  </cols>
  <sheetData>
    <row r="1" spans="1:13" ht="15.75" customHeight="1">
      <c r="A1" s="113"/>
      <c r="E1" s="2191"/>
      <c r="F1" s="2191"/>
    </row>
    <row r="2" spans="1:13" s="26" customFormat="1" ht="36.75" customHeight="1">
      <c r="A2" s="2195" t="s">
        <v>963</v>
      </c>
      <c r="B2" s="2107"/>
      <c r="C2" s="2107"/>
      <c r="D2" s="2107"/>
      <c r="E2" s="2107"/>
      <c r="F2" s="2107"/>
      <c r="G2" s="1852"/>
      <c r="H2" s="1852"/>
      <c r="I2" s="1852"/>
      <c r="J2" s="1853"/>
      <c r="K2"/>
      <c r="L2"/>
      <c r="M2"/>
    </row>
    <row r="3" spans="1:13" s="26" customFormat="1" ht="15.75" customHeight="1">
      <c r="A3" s="18"/>
      <c r="B3" s="18"/>
      <c r="C3" s="18"/>
      <c r="D3" s="22"/>
      <c r="E3" s="18"/>
      <c r="F3" s="18"/>
      <c r="G3"/>
      <c r="H3"/>
      <c r="J3"/>
      <c r="K3"/>
      <c r="L3"/>
      <c r="M3"/>
    </row>
    <row r="4" spans="1:13" s="26" customFormat="1" ht="20.25" customHeight="1">
      <c r="A4" s="177" t="s">
        <v>305</v>
      </c>
      <c r="B4" s="177"/>
      <c r="C4" s="177"/>
      <c r="D4" s="178"/>
      <c r="E4" s="140"/>
      <c r="F4" s="140"/>
      <c r="G4"/>
      <c r="H4"/>
      <c r="J4"/>
      <c r="K4"/>
      <c r="L4"/>
      <c r="M4"/>
    </row>
    <row r="5" spans="1:13" s="7" customFormat="1" ht="20.25" customHeight="1">
      <c r="A5" s="18" t="s">
        <v>235</v>
      </c>
      <c r="B5" s="8"/>
      <c r="C5" s="8"/>
      <c r="D5" s="14"/>
      <c r="E5" s="6"/>
      <c r="F5" s="6"/>
      <c r="G5"/>
      <c r="H5"/>
      <c r="J5"/>
      <c r="K5"/>
      <c r="L5"/>
      <c r="M5"/>
    </row>
    <row r="6" spans="1:13" s="2" customFormat="1" ht="15.75" customHeight="1">
      <c r="A6" s="12"/>
      <c r="B6" s="9"/>
      <c r="C6" s="9"/>
      <c r="D6" s="15"/>
      <c r="E6" s="3"/>
      <c r="F6" s="3"/>
      <c r="G6"/>
      <c r="H6"/>
      <c r="J6"/>
      <c r="K6"/>
      <c r="L6"/>
      <c r="M6"/>
    </row>
    <row r="8" spans="1:13" ht="17.399999999999999">
      <c r="A8" s="2192" t="s">
        <v>1025</v>
      </c>
      <c r="B8" s="2192"/>
      <c r="C8" s="2192"/>
      <c r="D8" s="2192"/>
      <c r="E8" s="2192"/>
      <c r="F8" s="2192"/>
      <c r="J8" s="1851"/>
    </row>
    <row r="9" spans="1:13" ht="13.8" thickBot="1">
      <c r="A9" s="13"/>
      <c r="B9" s="13"/>
      <c r="C9"/>
      <c r="D9"/>
      <c r="E9"/>
      <c r="F9"/>
    </row>
    <row r="10" spans="1:13" ht="57" customHeight="1">
      <c r="A10" s="1886" t="s">
        <v>8</v>
      </c>
      <c r="B10" s="1887" t="s">
        <v>125</v>
      </c>
      <c r="C10" s="1842" t="s">
        <v>136</v>
      </c>
      <c r="D10" s="489" t="s">
        <v>527</v>
      </c>
      <c r="E10" s="1844" t="s">
        <v>137</v>
      </c>
      <c r="F10"/>
      <c r="G10" s="4"/>
      <c r="I10"/>
      <c r="L10" s="4"/>
      <c r="M10" s="4"/>
    </row>
    <row r="11" spans="1:13" ht="17.25" customHeight="1">
      <c r="A11" s="175" t="s">
        <v>19</v>
      </c>
      <c r="B11" s="174" t="s">
        <v>20</v>
      </c>
      <c r="C11" s="1838">
        <v>1</v>
      </c>
      <c r="D11" s="1837"/>
      <c r="E11" s="1845">
        <f>SUM(C11:D11)</f>
        <v>1</v>
      </c>
      <c r="F11"/>
      <c r="G11" s="4"/>
      <c r="I11"/>
      <c r="L11" s="4"/>
      <c r="M11" s="4"/>
    </row>
    <row r="12" spans="1:13" ht="17.25" customHeight="1" thickBot="1">
      <c r="A12" s="2193" t="s">
        <v>105</v>
      </c>
      <c r="B12" s="2194"/>
      <c r="C12" s="1843">
        <f>SUM(C11:C11)</f>
        <v>1</v>
      </c>
      <c r="D12" s="1840">
        <f>SUM(D11:D11)</f>
        <v>0</v>
      </c>
      <c r="E12" s="1846">
        <f>SUM(E11:E11)</f>
        <v>1</v>
      </c>
      <c r="F12"/>
      <c r="G12" s="4"/>
      <c r="I12"/>
      <c r="L12" s="4"/>
      <c r="M12" s="4"/>
    </row>
    <row r="13" spans="1:13">
      <c r="A13" s="459"/>
      <c r="B13" s="1888"/>
    </row>
    <row r="14" spans="1:13">
      <c r="A14" s="459" t="str">
        <f>'fiche technique'!A9</f>
        <v>Source: GALAXIE (ANTARES-ANTEE &amp; FIDIS), DGRH A1-1 &amp; DGRH A2, juin 2014</v>
      </c>
    </row>
    <row r="18" spans="1:16" ht="17.399999999999999">
      <c r="A18" s="2192" t="s">
        <v>531</v>
      </c>
      <c r="B18" s="2192"/>
      <c r="C18" s="2192"/>
      <c r="D18" s="2192"/>
      <c r="E18" s="2192"/>
      <c r="F18" s="2192"/>
    </row>
    <row r="19" spans="1:16" ht="13.8" thickBot="1">
      <c r="A19" s="13"/>
      <c r="B19" s="13"/>
      <c r="C19"/>
      <c r="D19"/>
      <c r="E19"/>
      <c r="F19"/>
    </row>
    <row r="20" spans="1:16" ht="69" customHeight="1">
      <c r="A20" s="1886" t="s">
        <v>8</v>
      </c>
      <c r="B20" s="1887" t="s">
        <v>125</v>
      </c>
      <c r="C20" s="489" t="s">
        <v>136</v>
      </c>
      <c r="D20" s="179" t="s">
        <v>524</v>
      </c>
      <c r="E20" s="1847" t="s">
        <v>528</v>
      </c>
      <c r="F20" s="490" t="s">
        <v>137</v>
      </c>
      <c r="H20" s="4"/>
      <c r="I20"/>
      <c r="M20" s="4"/>
    </row>
    <row r="21" spans="1:16" ht="17.25" customHeight="1">
      <c r="A21" s="175" t="s">
        <v>9</v>
      </c>
      <c r="B21" s="172" t="s">
        <v>10</v>
      </c>
      <c r="C21" s="1196">
        <v>2</v>
      </c>
      <c r="D21" s="1196">
        <v>1</v>
      </c>
      <c r="E21" s="1848"/>
      <c r="F21" s="1197">
        <f>SUM(C21:E21)</f>
        <v>3</v>
      </c>
      <c r="H21" s="4"/>
      <c r="I21"/>
      <c r="L21" s="1788"/>
      <c r="M21" s="4"/>
    </row>
    <row r="22" spans="1:16" ht="17.25" customHeight="1">
      <c r="A22" s="175" t="s">
        <v>11</v>
      </c>
      <c r="B22" s="174" t="s">
        <v>12</v>
      </c>
      <c r="C22" s="1196">
        <v>5</v>
      </c>
      <c r="D22" s="1196">
        <v>3</v>
      </c>
      <c r="E22" s="1848"/>
      <c r="F22" s="1197">
        <f>SUM(C22:E22)</f>
        <v>8</v>
      </c>
      <c r="H22" s="4"/>
      <c r="I22"/>
      <c r="M22" s="4"/>
    </row>
    <row r="23" spans="1:16" ht="17.25" customHeight="1">
      <c r="A23" s="175" t="s">
        <v>13</v>
      </c>
      <c r="B23" s="174" t="s">
        <v>14</v>
      </c>
      <c r="C23" s="1196">
        <v>1</v>
      </c>
      <c r="D23" s="1196"/>
      <c r="E23" s="1848"/>
      <c r="F23" s="1197">
        <f>SUM(C23:E23)</f>
        <v>1</v>
      </c>
      <c r="H23" s="4"/>
      <c r="I23"/>
      <c r="L23" s="1797"/>
      <c r="M23" s="4"/>
      <c r="P23" s="805"/>
    </row>
    <row r="24" spans="1:16" ht="17.25" customHeight="1">
      <c r="A24" s="175" t="s">
        <v>17</v>
      </c>
      <c r="B24" s="172" t="s">
        <v>18</v>
      </c>
      <c r="C24" s="1196">
        <v>2</v>
      </c>
      <c r="D24" s="1196">
        <v>2</v>
      </c>
      <c r="E24" s="1848"/>
      <c r="F24" s="1197">
        <f>SUM(C24:E24)</f>
        <v>4</v>
      </c>
      <c r="H24" s="4"/>
      <c r="I24"/>
      <c r="M24" s="4"/>
    </row>
    <row r="25" spans="1:16" ht="17.25" customHeight="1">
      <c r="A25" s="175" t="s">
        <v>19</v>
      </c>
      <c r="B25" s="172" t="s">
        <v>20</v>
      </c>
      <c r="C25" s="1837">
        <v>7</v>
      </c>
      <c r="D25" s="1850">
        <v>1</v>
      </c>
      <c r="E25" s="1849">
        <v>1</v>
      </c>
      <c r="F25" s="1839">
        <f>SUM(C25:E25)</f>
        <v>9</v>
      </c>
      <c r="H25" s="4"/>
      <c r="I25"/>
      <c r="M25" s="4"/>
    </row>
    <row r="26" spans="1:16" ht="17.25" customHeight="1" thickBot="1">
      <c r="A26" s="2193" t="s">
        <v>105</v>
      </c>
      <c r="B26" s="2194"/>
      <c r="C26" s="1840">
        <f>SUM(C21:C25)</f>
        <v>17</v>
      </c>
      <c r="D26" s="1840">
        <f>SUM(D21:D25)</f>
        <v>7</v>
      </c>
      <c r="E26" s="1840">
        <f>SUM(E21:E25)</f>
        <v>1</v>
      </c>
      <c r="F26" s="1841">
        <f>SUM(F21:F25)</f>
        <v>25</v>
      </c>
      <c r="H26" s="4"/>
      <c r="I26"/>
      <c r="M26" s="4"/>
      <c r="P26" s="805"/>
    </row>
    <row r="27" spans="1:16">
      <c r="A27" s="459"/>
      <c r="B27" s="1888"/>
    </row>
    <row r="28" spans="1:16">
      <c r="A28" s="1225" t="s">
        <v>973</v>
      </c>
    </row>
    <row r="29" spans="1:16">
      <c r="A29" s="21"/>
      <c r="E29" s="21"/>
      <c r="F29" s="21"/>
    </row>
  </sheetData>
  <mergeCells count="6">
    <mergeCell ref="A26:B26"/>
    <mergeCell ref="E1:F1"/>
    <mergeCell ref="A8:F8"/>
    <mergeCell ref="A2:F2"/>
    <mergeCell ref="A18:F18"/>
    <mergeCell ref="A12:B12"/>
  </mergeCells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codeName="Feuil48" enableFormatConditionsCalculation="0">
    <tabColor rgb="FF00B050"/>
  </sheetPr>
  <dimension ref="A1:I793"/>
  <sheetViews>
    <sheetView zoomScale="75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9">
      <c r="B17" s="273"/>
      <c r="C17" s="273"/>
      <c r="D17" s="273"/>
    </row>
    <row r="18" spans="1:9">
      <c r="B18" s="273"/>
      <c r="C18" s="273"/>
      <c r="D18" s="273"/>
    </row>
    <row r="19" spans="1:9">
      <c r="B19" s="273"/>
      <c r="C19" s="273"/>
      <c r="D19" s="273"/>
    </row>
    <row r="20" spans="1:9">
      <c r="B20" s="273"/>
      <c r="C20" s="273"/>
      <c r="D20" s="273"/>
    </row>
    <row r="21" spans="1:9">
      <c r="B21" s="273"/>
      <c r="C21" s="273"/>
      <c r="D21" s="273"/>
    </row>
    <row r="22" spans="1:9">
      <c r="B22" s="273"/>
      <c r="C22" s="273"/>
      <c r="D22" s="273"/>
    </row>
    <row r="23" spans="1:9">
      <c r="B23" s="273"/>
      <c r="C23" s="273"/>
      <c r="D23" s="273"/>
    </row>
    <row r="24" spans="1:9" ht="13.8" thickBot="1">
      <c r="B24" s="273"/>
      <c r="C24" s="273"/>
      <c r="D24" s="273"/>
    </row>
    <row r="25" spans="1:9" ht="19.5" customHeight="1" thickTop="1">
      <c r="B25" s="2094" t="s">
        <v>331</v>
      </c>
      <c r="C25" s="2095"/>
      <c r="D25" s="2095"/>
      <c r="E25" s="2095"/>
      <c r="F25" s="2095"/>
      <c r="G25" s="2095"/>
      <c r="H25" s="2095"/>
      <c r="I25" s="2196"/>
    </row>
    <row r="26" spans="1:9" ht="19.5" customHeight="1" thickBot="1">
      <c r="B26" s="2098" t="s">
        <v>332</v>
      </c>
      <c r="C26" s="2099"/>
      <c r="D26" s="2099"/>
      <c r="E26" s="2099"/>
      <c r="F26" s="2099"/>
      <c r="G26" s="2099"/>
      <c r="H26" s="2099"/>
      <c r="I26" s="2100"/>
    </row>
    <row r="27" spans="1:9" ht="12.75" customHeight="1" thickTop="1">
      <c r="B27" s="319"/>
      <c r="C27" s="1883"/>
      <c r="D27" s="1883"/>
      <c r="E27" s="1883"/>
      <c r="F27" s="1883"/>
      <c r="G27" s="1883"/>
      <c r="H27" s="1883"/>
      <c r="I27" s="320"/>
    </row>
    <row r="28" spans="1:9" ht="12.75" customHeight="1">
      <c r="B28" s="1884"/>
      <c r="C28" s="1884"/>
      <c r="D28" s="1884"/>
      <c r="E28" s="1885"/>
      <c r="F28" s="1885"/>
      <c r="G28" s="1885"/>
      <c r="H28" s="1885"/>
      <c r="I28" s="1885"/>
    </row>
    <row r="29" spans="1:9" ht="12.75" customHeight="1">
      <c r="A29" s="1919"/>
      <c r="B29" s="1884"/>
      <c r="C29" s="1884"/>
      <c r="D29" s="1884"/>
      <c r="E29" s="1919"/>
      <c r="F29" s="1919"/>
      <c r="G29" s="1885"/>
      <c r="H29" s="1885"/>
      <c r="I29" s="1885"/>
    </row>
    <row r="30" spans="1:9" ht="12.75" customHeight="1">
      <c r="B30" s="274"/>
      <c r="C30" s="273"/>
      <c r="D30" s="273"/>
    </row>
    <row r="31" spans="1:9" ht="19.5" customHeight="1">
      <c r="B31" s="2101" t="str">
        <f>'fiche technique'!A7</f>
        <v>Campagne 2014  - Session "synchronisée" (ANTEE)</v>
      </c>
      <c r="C31" s="2101"/>
      <c r="D31" s="2101"/>
      <c r="E31" s="2101"/>
      <c r="F31" s="2101"/>
      <c r="G31" s="2101"/>
      <c r="H31" s="2101"/>
      <c r="I31" s="2101"/>
    </row>
    <row r="32" spans="1:9">
      <c r="B32" s="273"/>
      <c r="C32" s="273"/>
      <c r="D32" s="273"/>
    </row>
    <row r="33" spans="2:9">
      <c r="B33" s="273"/>
      <c r="C33" s="273"/>
      <c r="D33" s="273"/>
    </row>
    <row r="34" spans="2:9">
      <c r="C34" s="278"/>
      <c r="D34" s="321"/>
      <c r="E34" s="322"/>
      <c r="F34" s="322"/>
      <c r="G34" s="322"/>
      <c r="H34" s="322"/>
    </row>
    <row r="35" spans="2:9">
      <c r="C35" s="278"/>
      <c r="D35" s="321"/>
      <c r="E35" s="322"/>
      <c r="F35" s="322"/>
      <c r="G35" s="322"/>
      <c r="H35" s="322"/>
    </row>
    <row r="36" spans="2:9" ht="24" customHeight="1">
      <c r="B36" s="273"/>
      <c r="C36" s="273"/>
      <c r="D36" s="273"/>
    </row>
    <row r="37" spans="2:9">
      <c r="B37" s="273"/>
      <c r="C37" s="273"/>
      <c r="D37" s="273"/>
    </row>
    <row r="38" spans="2:9">
      <c r="B38" s="273"/>
      <c r="C38" s="273"/>
      <c r="D38" s="273"/>
    </row>
    <row r="39" spans="2:9">
      <c r="B39" s="273"/>
      <c r="C39" s="273"/>
      <c r="D39" s="273"/>
    </row>
    <row r="40" spans="2:9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  <c r="F42" s="2001"/>
      <c r="G42" s="2001"/>
      <c r="H42" s="2001"/>
    </row>
    <row r="43" spans="2:9" ht="19.5" customHeight="1">
      <c r="B43" s="1992" t="s">
        <v>324</v>
      </c>
      <c r="C43" s="1992"/>
      <c r="D43" s="1992"/>
      <c r="E43" s="1992"/>
      <c r="F43" s="1992"/>
      <c r="G43" s="1992"/>
      <c r="H43" s="1992"/>
      <c r="I43" s="1992"/>
    </row>
    <row r="44" spans="2:9" ht="19.5" customHeight="1">
      <c r="B44" s="2002" t="s">
        <v>325</v>
      </c>
      <c r="C44" s="2002"/>
      <c r="D44" s="2002"/>
      <c r="E44" s="2002"/>
      <c r="F44" s="2002"/>
      <c r="G44" s="2002"/>
      <c r="H44" s="2002"/>
      <c r="I44" s="2002"/>
    </row>
    <row r="45" spans="2:9" ht="19.5" customHeight="1">
      <c r="B45" s="1992" t="s">
        <v>326</v>
      </c>
      <c r="C45" s="1992"/>
      <c r="D45" s="1992"/>
      <c r="E45" s="1992"/>
      <c r="F45" s="1992"/>
      <c r="G45" s="1992"/>
      <c r="H45" s="1992"/>
      <c r="I45" s="1992"/>
    </row>
    <row r="46" spans="2:9" ht="19.5" customHeight="1">
      <c r="B46" s="1991" t="s">
        <v>958</v>
      </c>
      <c r="C46" s="1992"/>
      <c r="D46" s="1992"/>
      <c r="E46" s="1992"/>
      <c r="F46" s="1992"/>
      <c r="G46" s="1992"/>
      <c r="H46" s="1992"/>
      <c r="I46" s="1992"/>
    </row>
    <row r="47" spans="2:9" ht="19.5" customHeight="1">
      <c r="B47" s="2093" t="s">
        <v>327</v>
      </c>
      <c r="C47" s="2093"/>
      <c r="D47" s="2093"/>
      <c r="E47" s="2093"/>
      <c r="F47" s="2093"/>
      <c r="G47" s="2093"/>
      <c r="H47" s="2093"/>
      <c r="I47" s="2093"/>
    </row>
    <row r="48" spans="2:9">
      <c r="B48" s="273"/>
      <c r="C48" s="273"/>
      <c r="D48" s="273"/>
    </row>
    <row r="49" spans="2:9">
      <c r="B49" s="273"/>
      <c r="C49" s="281"/>
      <c r="D49" s="281"/>
    </row>
    <row r="50" spans="2:9">
      <c r="B50" s="273"/>
      <c r="C50" s="281"/>
      <c r="D50" s="281"/>
    </row>
    <row r="51" spans="2:9">
      <c r="B51" s="282" t="s">
        <v>328</v>
      </c>
      <c r="C51" s="281"/>
      <c r="D51" s="281"/>
      <c r="I51" s="283" t="str">
        <f>'fiche technique'!A12</f>
        <v>décembre 2014</v>
      </c>
    </row>
    <row r="52" spans="2:9">
      <c r="B52" s="273"/>
      <c r="C52" s="281"/>
      <c r="D52" s="281"/>
    </row>
    <row r="53" spans="2:9">
      <c r="B53" s="281"/>
      <c r="C53" s="281"/>
      <c r="D53" s="281"/>
    </row>
    <row r="54" spans="2:9">
      <c r="B54" s="281"/>
      <c r="C54" s="281"/>
      <c r="D54" s="281"/>
    </row>
    <row r="55" spans="2:9">
      <c r="B55" s="281"/>
      <c r="C55" s="281"/>
      <c r="D55" s="281"/>
    </row>
    <row r="56" spans="2:9">
      <c r="B56" s="281"/>
      <c r="C56" s="281"/>
      <c r="D56" s="281"/>
    </row>
    <row r="57" spans="2:9">
      <c r="B57" s="281"/>
      <c r="C57" s="281"/>
      <c r="D57" s="281"/>
    </row>
    <row r="58" spans="2:9">
      <c r="B58" s="281"/>
      <c r="C58" s="281"/>
      <c r="D58" s="281"/>
    </row>
    <row r="59" spans="2:9">
      <c r="B59" s="281"/>
      <c r="C59" s="281"/>
      <c r="D59" s="281"/>
    </row>
    <row r="60" spans="2:9">
      <c r="B60" s="281"/>
      <c r="C60" s="281"/>
      <c r="D60" s="281"/>
    </row>
    <row r="61" spans="2:9">
      <c r="B61" s="281"/>
      <c r="C61" s="281"/>
      <c r="D61" s="281"/>
    </row>
    <row r="62" spans="2:9">
      <c r="B62" s="281"/>
      <c r="C62" s="281"/>
      <c r="D62" s="281"/>
    </row>
    <row r="63" spans="2:9">
      <c r="B63" s="281"/>
      <c r="C63" s="281"/>
      <c r="D63" s="281"/>
    </row>
    <row r="64" spans="2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</sheetData>
  <mergeCells count="9">
    <mergeCell ref="B25:I25"/>
    <mergeCell ref="B26:I26"/>
    <mergeCell ref="B31:I31"/>
    <mergeCell ref="B46:I46"/>
    <mergeCell ref="B47:I47"/>
    <mergeCell ref="F42:H42"/>
    <mergeCell ref="B43:I43"/>
    <mergeCell ref="B44:I44"/>
    <mergeCell ref="B45:I45"/>
  </mergeCells>
  <phoneticPr fontId="30" type="noConversion"/>
  <printOptions horizontalCentered="1"/>
  <pageMargins left="0.39370078740157483" right="0.39370078740157483" top="0.59055118110236227" bottom="0.59055118110236227" header="0.31496062992125984" footer="0.31496062992125984"/>
  <pageSetup paperSize="9" orientation="portrait" r:id="rId1"/>
  <headerFooter alignWithMargins="0">
    <oddHeader>&amp;LDGRH A1-1</oddHeader>
    <oddFooter>&amp;CPage &amp;P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Feuil40" enableFormatConditionsCalculation="0">
    <tabColor rgb="FF00B050"/>
  </sheetPr>
  <dimension ref="A1:J59"/>
  <sheetViews>
    <sheetView showZeros="0" workbookViewId="0">
      <selection activeCell="L18" sqref="L18"/>
    </sheetView>
  </sheetViews>
  <sheetFormatPr baseColWidth="10" defaultColWidth="11.44140625" defaultRowHeight="15.6"/>
  <cols>
    <col min="1" max="1" width="13.88671875" style="368" customWidth="1"/>
    <col min="2" max="2" width="7.33203125" style="324" customWidth="1"/>
    <col min="3" max="3" width="23.33203125" style="325" customWidth="1"/>
    <col min="4" max="4" width="7.44140625" style="102" customWidth="1"/>
    <col min="5" max="5" width="70.44140625" style="326" customWidth="1"/>
    <col min="6" max="6" width="59.5546875" style="326" customWidth="1"/>
    <col min="7" max="7" width="30.109375" style="326" customWidth="1"/>
    <col min="8" max="8" width="11.88671875" style="326" customWidth="1"/>
    <col min="9" max="9" width="24.5546875" style="326" customWidth="1"/>
    <col min="10" max="16384" width="11.44140625" style="102"/>
  </cols>
  <sheetData>
    <row r="1" spans="1:10">
      <c r="A1" s="323"/>
    </row>
    <row r="2" spans="1:10" ht="36" customHeight="1">
      <c r="A2" s="327" t="s">
        <v>333</v>
      </c>
      <c r="B2" s="328" t="s">
        <v>334</v>
      </c>
      <c r="C2" s="328" t="s">
        <v>335</v>
      </c>
      <c r="D2" s="329" t="s">
        <v>8</v>
      </c>
      <c r="E2" s="328" t="s">
        <v>336</v>
      </c>
    </row>
    <row r="3" spans="1:10" ht="15.75" customHeight="1">
      <c r="A3" s="2224" t="s">
        <v>193</v>
      </c>
      <c r="B3" s="2230">
        <v>1</v>
      </c>
      <c r="C3" s="2219" t="s">
        <v>337</v>
      </c>
      <c r="D3" s="330">
        <v>1</v>
      </c>
      <c r="E3" s="331" t="s">
        <v>10</v>
      </c>
    </row>
    <row r="4" spans="1:10" ht="15.75" customHeight="1">
      <c r="A4" s="2225"/>
      <c r="B4" s="2231"/>
      <c r="C4" s="2220"/>
      <c r="D4" s="332">
        <v>2</v>
      </c>
      <c r="E4" s="333" t="s">
        <v>12</v>
      </c>
    </row>
    <row r="5" spans="1:10" ht="15.75" customHeight="1">
      <c r="A5" s="2225"/>
      <c r="B5" s="2231"/>
      <c r="C5" s="2220"/>
      <c r="D5" s="332">
        <v>3</v>
      </c>
      <c r="E5" s="333" t="s">
        <v>14</v>
      </c>
    </row>
    <row r="6" spans="1:10" ht="15.75" customHeight="1">
      <c r="A6" s="2225"/>
      <c r="B6" s="2232"/>
      <c r="C6" s="2221"/>
      <c r="D6" s="334">
        <v>4</v>
      </c>
      <c r="E6" s="335" t="s">
        <v>16</v>
      </c>
    </row>
    <row r="7" spans="1:10" ht="15.75" customHeight="1">
      <c r="A7" s="2225"/>
      <c r="B7" s="2230">
        <v>2</v>
      </c>
      <c r="C7" s="2222" t="s">
        <v>338</v>
      </c>
      <c r="D7" s="330">
        <v>5</v>
      </c>
      <c r="E7" s="331" t="s">
        <v>18</v>
      </c>
    </row>
    <row r="8" spans="1:10" ht="15.75" customHeight="1">
      <c r="A8" s="2226"/>
      <c r="B8" s="2232"/>
      <c r="C8" s="2223"/>
      <c r="D8" s="334">
        <v>6</v>
      </c>
      <c r="E8" s="336" t="s">
        <v>20</v>
      </c>
    </row>
    <row r="9" spans="1:10" ht="15.75" customHeight="1">
      <c r="A9" s="2197" t="s">
        <v>194</v>
      </c>
      <c r="B9" s="2200" t="s">
        <v>339</v>
      </c>
      <c r="C9" s="1878" t="s">
        <v>340</v>
      </c>
      <c r="D9" s="337">
        <v>7</v>
      </c>
      <c r="E9" s="338" t="s">
        <v>22</v>
      </c>
    </row>
    <row r="10" spans="1:10" ht="15.75" customHeight="1">
      <c r="A10" s="2198"/>
      <c r="B10" s="2201"/>
      <c r="C10" s="1879"/>
      <c r="D10" s="339">
        <v>8</v>
      </c>
      <c r="E10" s="340" t="s">
        <v>24</v>
      </c>
    </row>
    <row r="11" spans="1:10" ht="15.75" customHeight="1">
      <c r="A11" s="2198"/>
      <c r="B11" s="2201"/>
      <c r="C11" s="1879"/>
      <c r="D11" s="339">
        <v>9</v>
      </c>
      <c r="E11" s="340" t="s">
        <v>26</v>
      </c>
    </row>
    <row r="12" spans="1:10" ht="15.75" customHeight="1">
      <c r="A12" s="2198"/>
      <c r="B12" s="2202"/>
      <c r="C12" s="1880"/>
      <c r="D12" s="341">
        <v>10</v>
      </c>
      <c r="E12" s="340" t="s">
        <v>28</v>
      </c>
      <c r="F12" s="342"/>
      <c r="G12" s="342"/>
      <c r="H12" s="342"/>
      <c r="I12" s="342"/>
      <c r="J12" s="343"/>
    </row>
    <row r="13" spans="1:10" ht="15.75" customHeight="1">
      <c r="A13" s="2198"/>
      <c r="B13" s="2200" t="s">
        <v>341</v>
      </c>
      <c r="C13" s="1878" t="s">
        <v>342</v>
      </c>
      <c r="D13" s="337">
        <v>11</v>
      </c>
      <c r="E13" s="331" t="s">
        <v>30</v>
      </c>
      <c r="F13" s="102"/>
      <c r="G13" s="102"/>
      <c r="H13" s="102"/>
      <c r="I13" s="102"/>
    </row>
    <row r="14" spans="1:10" ht="15.75" customHeight="1">
      <c r="A14" s="2198"/>
      <c r="B14" s="2201"/>
      <c r="C14" s="1879"/>
      <c r="D14" s="339">
        <v>12</v>
      </c>
      <c r="E14" s="333" t="s">
        <v>32</v>
      </c>
      <c r="F14" s="102"/>
      <c r="G14" s="102"/>
      <c r="H14" s="102"/>
      <c r="I14" s="102"/>
    </row>
    <row r="15" spans="1:10" ht="15.75" customHeight="1">
      <c r="A15" s="2198"/>
      <c r="B15" s="2201"/>
      <c r="C15" s="1879"/>
      <c r="D15" s="339">
        <v>13</v>
      </c>
      <c r="E15" s="333" t="s">
        <v>34</v>
      </c>
      <c r="F15" s="102"/>
      <c r="G15" s="102"/>
      <c r="H15" s="102"/>
      <c r="I15" s="102"/>
    </row>
    <row r="16" spans="1:10" ht="26.25" customHeight="1">
      <c r="A16" s="2198"/>
      <c r="B16" s="2201"/>
      <c r="C16" s="1879"/>
      <c r="D16" s="339">
        <v>14</v>
      </c>
      <c r="E16" s="344" t="s">
        <v>343</v>
      </c>
      <c r="F16" s="102"/>
      <c r="G16" s="102"/>
      <c r="H16" s="102"/>
      <c r="I16" s="102"/>
    </row>
    <row r="17" spans="1:9" ht="28.5" customHeight="1">
      <c r="A17" s="2198"/>
      <c r="B17" s="2202"/>
      <c r="C17" s="1880"/>
      <c r="D17" s="341">
        <v>15</v>
      </c>
      <c r="E17" s="345" t="s">
        <v>122</v>
      </c>
      <c r="F17" s="102"/>
      <c r="G17" s="102"/>
      <c r="H17" s="102"/>
      <c r="I17" s="102"/>
    </row>
    <row r="18" spans="1:9" ht="19.5" customHeight="1">
      <c r="A18" s="2198"/>
      <c r="B18" s="2200" t="s">
        <v>344</v>
      </c>
      <c r="C18" s="1878" t="s">
        <v>345</v>
      </c>
      <c r="D18" s="337">
        <v>16</v>
      </c>
      <c r="E18" s="331" t="s">
        <v>39</v>
      </c>
    </row>
    <row r="19" spans="1:9" ht="15.75" customHeight="1">
      <c r="A19" s="2198"/>
      <c r="B19" s="2201"/>
      <c r="C19" s="1879"/>
      <c r="D19" s="339">
        <v>17</v>
      </c>
      <c r="E19" s="333" t="s">
        <v>41</v>
      </c>
    </row>
    <row r="20" spans="1:9" ht="41.25" customHeight="1">
      <c r="A20" s="2198"/>
      <c r="B20" s="2201"/>
      <c r="C20" s="1879"/>
      <c r="D20" s="339">
        <v>18</v>
      </c>
      <c r="E20" s="346" t="s">
        <v>346</v>
      </c>
    </row>
    <row r="21" spans="1:9" ht="15.75" customHeight="1">
      <c r="A21" s="2198"/>
      <c r="B21" s="2202"/>
      <c r="C21" s="1880"/>
      <c r="D21" s="347">
        <v>19</v>
      </c>
      <c r="E21" s="335" t="s">
        <v>44</v>
      </c>
    </row>
    <row r="22" spans="1:9" ht="15.75" customHeight="1">
      <c r="A22" s="2198"/>
      <c r="B22" s="2200" t="s">
        <v>347</v>
      </c>
      <c r="C22" s="1878" t="s">
        <v>348</v>
      </c>
      <c r="D22" s="348">
        <v>20</v>
      </c>
      <c r="E22" s="338" t="s">
        <v>320</v>
      </c>
    </row>
    <row r="23" spans="1:9" ht="28.5" customHeight="1">
      <c r="A23" s="2198"/>
      <c r="B23" s="2201"/>
      <c r="C23" s="1879"/>
      <c r="D23" s="349">
        <v>21</v>
      </c>
      <c r="E23" s="350" t="s">
        <v>349</v>
      </c>
      <c r="F23" s="351"/>
      <c r="G23" s="351"/>
      <c r="H23" s="351"/>
      <c r="I23" s="351"/>
    </row>
    <row r="24" spans="1:9" ht="28.5" customHeight="1">
      <c r="A24" s="2198"/>
      <c r="B24" s="2201"/>
      <c r="C24" s="1879"/>
      <c r="D24" s="339">
        <v>22</v>
      </c>
      <c r="E24" s="350" t="s">
        <v>350</v>
      </c>
      <c r="F24" s="351"/>
      <c r="G24" s="351"/>
      <c r="H24" s="351"/>
      <c r="I24" s="351"/>
    </row>
    <row r="25" spans="1:9" ht="15.75" customHeight="1">
      <c r="A25" s="2198"/>
      <c r="B25" s="2201"/>
      <c r="C25" s="1879"/>
      <c r="D25" s="339">
        <v>23</v>
      </c>
      <c r="E25" s="333" t="s">
        <v>49</v>
      </c>
    </row>
    <row r="26" spans="1:9" ht="15.75" customHeight="1">
      <c r="A26" s="2198"/>
      <c r="B26" s="2202"/>
      <c r="C26" s="1880"/>
      <c r="D26" s="341">
        <v>24</v>
      </c>
      <c r="E26" s="336" t="s">
        <v>51</v>
      </c>
    </row>
    <row r="27" spans="1:9" ht="15.75" customHeight="1">
      <c r="A27" s="2198"/>
      <c r="B27" s="2200" t="s">
        <v>571</v>
      </c>
      <c r="C27" s="1878" t="s">
        <v>211</v>
      </c>
      <c r="D27" s="339">
        <v>70</v>
      </c>
      <c r="E27" s="331" t="s">
        <v>98</v>
      </c>
    </row>
    <row r="28" spans="1:9" ht="15.75" customHeight="1">
      <c r="A28" s="2198"/>
      <c r="B28" s="2201"/>
      <c r="C28" s="1879"/>
      <c r="D28" s="339">
        <v>71</v>
      </c>
      <c r="E28" s="333" t="s">
        <v>100</v>
      </c>
    </row>
    <row r="29" spans="1:9" ht="15.75" customHeight="1">
      <c r="A29" s="2198"/>
      <c r="B29" s="2201"/>
      <c r="C29" s="1879"/>
      <c r="D29" s="339">
        <v>72</v>
      </c>
      <c r="E29" s="333" t="s">
        <v>117</v>
      </c>
      <c r="F29" s="1986"/>
    </row>
    <row r="30" spans="1:9" ht="15.75" customHeight="1">
      <c r="A30" s="2198"/>
      <c r="B30" s="2202"/>
      <c r="C30" s="1880"/>
      <c r="D30" s="347">
        <v>73</v>
      </c>
      <c r="E30" s="336" t="s">
        <v>102</v>
      </c>
    </row>
    <row r="31" spans="1:9" ht="15.75" customHeight="1">
      <c r="A31" s="2198"/>
      <c r="B31" s="352" t="s">
        <v>572</v>
      </c>
      <c r="C31" s="353" t="s">
        <v>351</v>
      </c>
      <c r="D31" s="354">
        <v>74</v>
      </c>
      <c r="E31" s="355" t="s">
        <v>104</v>
      </c>
    </row>
    <row r="32" spans="1:9" ht="15.75" customHeight="1">
      <c r="A32" s="2199"/>
      <c r="B32" s="352">
        <v>20</v>
      </c>
      <c r="C32" s="353" t="s">
        <v>152</v>
      </c>
      <c r="D32" s="354" t="s">
        <v>698</v>
      </c>
      <c r="E32" s="355" t="s">
        <v>352</v>
      </c>
    </row>
    <row r="33" spans="1:5" ht="15.75" customHeight="1">
      <c r="A33" s="2227" t="s">
        <v>196</v>
      </c>
      <c r="B33" s="2233" t="s">
        <v>353</v>
      </c>
      <c r="C33" s="2210" t="s">
        <v>53</v>
      </c>
      <c r="D33" s="356">
        <v>25</v>
      </c>
      <c r="E33" s="331" t="s">
        <v>53</v>
      </c>
    </row>
    <row r="34" spans="1:5" ht="15.75" customHeight="1">
      <c r="A34" s="2228"/>
      <c r="B34" s="2234"/>
      <c r="C34" s="2214"/>
      <c r="D34" s="357">
        <v>26</v>
      </c>
      <c r="E34" s="336" t="s">
        <v>55</v>
      </c>
    </row>
    <row r="35" spans="1:5" ht="15.75" customHeight="1">
      <c r="A35" s="2228"/>
      <c r="B35" s="358" t="s">
        <v>354</v>
      </c>
      <c r="C35" s="328" t="s">
        <v>57</v>
      </c>
      <c r="D35" s="359">
        <v>27</v>
      </c>
      <c r="E35" s="340" t="s">
        <v>57</v>
      </c>
    </row>
    <row r="36" spans="1:5" ht="15.75" customHeight="1">
      <c r="A36" s="2228"/>
      <c r="B36" s="2206">
        <v>6</v>
      </c>
      <c r="C36" s="2210" t="s">
        <v>205</v>
      </c>
      <c r="D36" s="356">
        <v>28</v>
      </c>
      <c r="E36" s="331" t="s">
        <v>59</v>
      </c>
    </row>
    <row r="37" spans="1:5" ht="15.75" customHeight="1">
      <c r="A37" s="2228"/>
      <c r="B37" s="2207"/>
      <c r="C37" s="2211"/>
      <c r="D37" s="360">
        <v>29</v>
      </c>
      <c r="E37" s="333" t="s">
        <v>61</v>
      </c>
    </row>
    <row r="38" spans="1:5" ht="15.75" customHeight="1">
      <c r="A38" s="2228"/>
      <c r="B38" s="2209"/>
      <c r="C38" s="2212"/>
      <c r="D38" s="357">
        <v>30</v>
      </c>
      <c r="E38" s="336" t="s">
        <v>63</v>
      </c>
    </row>
    <row r="39" spans="1:5" ht="15.75" customHeight="1">
      <c r="A39" s="2228"/>
      <c r="B39" s="2206">
        <v>7</v>
      </c>
      <c r="C39" s="2210" t="s">
        <v>206</v>
      </c>
      <c r="D39" s="356">
        <v>31</v>
      </c>
      <c r="E39" s="331" t="s">
        <v>65</v>
      </c>
    </row>
    <row r="40" spans="1:5" ht="15.75" customHeight="1">
      <c r="A40" s="2228"/>
      <c r="B40" s="2207"/>
      <c r="C40" s="2211"/>
      <c r="D40" s="360">
        <v>32</v>
      </c>
      <c r="E40" s="333" t="s">
        <v>67</v>
      </c>
    </row>
    <row r="41" spans="1:5" ht="15.75" customHeight="1">
      <c r="A41" s="2228"/>
      <c r="B41" s="2209"/>
      <c r="C41" s="2212"/>
      <c r="D41" s="357">
        <v>33</v>
      </c>
      <c r="E41" s="336" t="s">
        <v>69</v>
      </c>
    </row>
    <row r="42" spans="1:5" ht="15.75" customHeight="1">
      <c r="A42" s="2228"/>
      <c r="B42" s="2206">
        <v>8</v>
      </c>
      <c r="C42" s="2210" t="s">
        <v>207</v>
      </c>
      <c r="D42" s="356">
        <v>34</v>
      </c>
      <c r="E42" s="331" t="s">
        <v>71</v>
      </c>
    </row>
    <row r="43" spans="1:5" ht="15.75" customHeight="1">
      <c r="A43" s="2228"/>
      <c r="B43" s="2207"/>
      <c r="C43" s="2211"/>
      <c r="D43" s="360">
        <v>35</v>
      </c>
      <c r="E43" s="333" t="s">
        <v>73</v>
      </c>
    </row>
    <row r="44" spans="1:5" ht="15.75" customHeight="1">
      <c r="A44" s="2228"/>
      <c r="B44" s="2208"/>
      <c r="C44" s="2215"/>
      <c r="D44" s="360">
        <v>36</v>
      </c>
      <c r="E44" s="333" t="s">
        <v>75</v>
      </c>
    </row>
    <row r="45" spans="1:5" ht="15.75" customHeight="1">
      <c r="A45" s="2228"/>
      <c r="B45" s="2209"/>
      <c r="C45" s="2212"/>
      <c r="D45" s="357">
        <v>37</v>
      </c>
      <c r="E45" s="336" t="s">
        <v>77</v>
      </c>
    </row>
    <row r="46" spans="1:5" ht="15.75" customHeight="1">
      <c r="A46" s="2228"/>
      <c r="B46" s="2206">
        <v>9</v>
      </c>
      <c r="C46" s="2213" t="s">
        <v>208</v>
      </c>
      <c r="D46" s="360">
        <v>60</v>
      </c>
      <c r="E46" s="331" t="s">
        <v>79</v>
      </c>
    </row>
    <row r="47" spans="1:5" ht="15.75" customHeight="1">
      <c r="A47" s="2228"/>
      <c r="B47" s="2207"/>
      <c r="C47" s="2211"/>
      <c r="D47" s="360">
        <v>61</v>
      </c>
      <c r="E47" s="333" t="s">
        <v>81</v>
      </c>
    </row>
    <row r="48" spans="1:5" ht="15.75" customHeight="1">
      <c r="A48" s="2228"/>
      <c r="B48" s="2208"/>
      <c r="C48" s="2211"/>
      <c r="D48" s="360">
        <v>62</v>
      </c>
      <c r="E48" s="333" t="s">
        <v>83</v>
      </c>
    </row>
    <row r="49" spans="1:5" ht="15.75" customHeight="1">
      <c r="A49" s="2228"/>
      <c r="B49" s="2209"/>
      <c r="C49" s="2214"/>
      <c r="D49" s="361">
        <v>63</v>
      </c>
      <c r="E49" s="336" t="s">
        <v>355</v>
      </c>
    </row>
    <row r="50" spans="1:5" ht="15.75" customHeight="1">
      <c r="A50" s="2228"/>
      <c r="B50" s="2206">
        <v>10</v>
      </c>
      <c r="C50" s="2210" t="s">
        <v>209</v>
      </c>
      <c r="D50" s="356">
        <v>64</v>
      </c>
      <c r="E50" s="331" t="s">
        <v>86</v>
      </c>
    </row>
    <row r="51" spans="1:5" ht="15.75" customHeight="1">
      <c r="A51" s="2228"/>
      <c r="B51" s="2207"/>
      <c r="C51" s="2211"/>
      <c r="D51" s="360">
        <v>65</v>
      </c>
      <c r="E51" s="333" t="s">
        <v>88</v>
      </c>
    </row>
    <row r="52" spans="1:5" ht="15.75" customHeight="1">
      <c r="A52" s="2228"/>
      <c r="B52" s="2208"/>
      <c r="C52" s="2211"/>
      <c r="D52" s="360">
        <v>66</v>
      </c>
      <c r="E52" s="333" t="s">
        <v>90</v>
      </c>
    </row>
    <row r="53" spans="1:5" ht="15.75" customHeight="1">
      <c r="A53" s="2228"/>
      <c r="B53" s="2208"/>
      <c r="C53" s="2211"/>
      <c r="D53" s="360">
        <v>67</v>
      </c>
      <c r="E53" s="333" t="s">
        <v>92</v>
      </c>
    </row>
    <row r="54" spans="1:5" ht="15.75" customHeight="1">
      <c r="A54" s="2228"/>
      <c r="B54" s="2208"/>
      <c r="C54" s="2211"/>
      <c r="D54" s="360">
        <v>68</v>
      </c>
      <c r="E54" s="333" t="s">
        <v>94</v>
      </c>
    </row>
    <row r="55" spans="1:5" ht="15.75" customHeight="1">
      <c r="A55" s="2229"/>
      <c r="B55" s="2209"/>
      <c r="C55" s="2212"/>
      <c r="D55" s="357">
        <v>69</v>
      </c>
      <c r="E55" s="336" t="s">
        <v>96</v>
      </c>
    </row>
    <row r="56" spans="1:5" ht="15.75" customHeight="1">
      <c r="A56" s="2203" t="s">
        <v>150</v>
      </c>
      <c r="B56" s="2216">
        <v>11</v>
      </c>
      <c r="C56" s="362"/>
      <c r="D56" s="363">
        <v>85</v>
      </c>
      <c r="E56" s="331" t="s">
        <v>518</v>
      </c>
    </row>
    <row r="57" spans="1:5" ht="15.75" customHeight="1">
      <c r="A57" s="2204"/>
      <c r="B57" s="2217"/>
      <c r="C57" s="364" t="s">
        <v>210</v>
      </c>
      <c r="D57" s="365">
        <v>86</v>
      </c>
      <c r="E57" s="333" t="s">
        <v>520</v>
      </c>
    </row>
    <row r="58" spans="1:5" ht="15.75" customHeight="1">
      <c r="A58" s="2205"/>
      <c r="B58" s="2218"/>
      <c r="C58" s="366"/>
      <c r="D58" s="367">
        <v>87</v>
      </c>
      <c r="E58" s="336" t="s">
        <v>522</v>
      </c>
    </row>
    <row r="59" spans="1:5" ht="15.75" customHeight="1">
      <c r="A59" s="102"/>
      <c r="D59"/>
    </row>
  </sheetData>
  <mergeCells count="26">
    <mergeCell ref="C3:C6"/>
    <mergeCell ref="C7:C8"/>
    <mergeCell ref="A3:A8"/>
    <mergeCell ref="A33:A55"/>
    <mergeCell ref="B42:B45"/>
    <mergeCell ref="B3:B6"/>
    <mergeCell ref="B7:B8"/>
    <mergeCell ref="B33:B34"/>
    <mergeCell ref="C50:C55"/>
    <mergeCell ref="B46:B49"/>
    <mergeCell ref="C33:C34"/>
    <mergeCell ref="C39:C41"/>
    <mergeCell ref="B22:B26"/>
    <mergeCell ref="B18:B21"/>
    <mergeCell ref="B13:B17"/>
    <mergeCell ref="B9:B12"/>
    <mergeCell ref="C36:C38"/>
    <mergeCell ref="C46:C49"/>
    <mergeCell ref="C42:C45"/>
    <mergeCell ref="B56:B58"/>
    <mergeCell ref="B36:B38"/>
    <mergeCell ref="A9:A32"/>
    <mergeCell ref="B27:B30"/>
    <mergeCell ref="A56:A58"/>
    <mergeCell ref="B50:B55"/>
    <mergeCell ref="B39:B41"/>
  </mergeCells>
  <phoneticPr fontId="0" type="noConversion"/>
  <printOptions horizontalCentered="1"/>
  <pageMargins left="0.39370078740157483" right="0.39370078740157483" top="0.59055118110236227" bottom="0.59055118110236227" header="0.31496062992125984" footer="0.31496062992125984"/>
  <pageSetup paperSize="9" scale="75" orientation="portrait" r:id="rId1"/>
  <headerFooter alignWithMargins="0">
    <oddHeader>&amp;LDGRH A1-1</oddHeader>
    <oddFooter>&amp;CPage 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Feuil7"/>
  <dimension ref="A4:G21"/>
  <sheetViews>
    <sheetView workbookViewId="0">
      <selection activeCell="I39" sqref="I39"/>
    </sheetView>
  </sheetViews>
  <sheetFormatPr baseColWidth="10" defaultRowHeight="13.2"/>
  <sheetData>
    <row r="4" spans="1:1">
      <c r="A4" s="21" t="s">
        <v>713</v>
      </c>
    </row>
    <row r="5" spans="1:1">
      <c r="A5" s="21" t="s">
        <v>714</v>
      </c>
    </row>
    <row r="6" spans="1:1">
      <c r="A6" s="21" t="s">
        <v>715</v>
      </c>
    </row>
    <row r="7" spans="1:1">
      <c r="A7" s="21" t="s">
        <v>716</v>
      </c>
    </row>
    <row r="8" spans="1:1">
      <c r="A8" s="21" t="s">
        <v>569</v>
      </c>
    </row>
    <row r="9" spans="1:1">
      <c r="A9" s="180" t="s">
        <v>974</v>
      </c>
    </row>
    <row r="10" spans="1:1">
      <c r="A10" s="180" t="s">
        <v>736</v>
      </c>
    </row>
    <row r="11" spans="1:1">
      <c r="A11" s="180" t="s">
        <v>975</v>
      </c>
    </row>
    <row r="12" spans="1:1">
      <c r="A12" s="513" t="s">
        <v>961</v>
      </c>
    </row>
    <row r="13" spans="1:1">
      <c r="A13" s="862" t="s">
        <v>735</v>
      </c>
    </row>
    <row r="14" spans="1:1">
      <c r="A14" s="862" t="s">
        <v>956</v>
      </c>
    </row>
    <row r="15" spans="1:1">
      <c r="A15">
        <v>2014</v>
      </c>
    </row>
    <row r="16" spans="1:1">
      <c r="A16" s="21" t="s">
        <v>737</v>
      </c>
    </row>
    <row r="17" spans="1:7">
      <c r="A17" s="21" t="s">
        <v>738</v>
      </c>
    </row>
    <row r="19" spans="1:7">
      <c r="A19">
        <v>2014</v>
      </c>
    </row>
    <row r="20" spans="1:7" ht="27.75" customHeight="1">
      <c r="A20" s="2235" t="s">
        <v>962</v>
      </c>
      <c r="B20" s="2235"/>
      <c r="C20" s="2235"/>
      <c r="D20" s="2235"/>
      <c r="E20" s="2235"/>
      <c r="F20" s="2235"/>
      <c r="G20" s="2235"/>
    </row>
    <row r="21" spans="1:7">
      <c r="A21" s="2236" t="s">
        <v>977</v>
      </c>
      <c r="B21" s="2236"/>
    </row>
  </sheetData>
  <mergeCells count="2">
    <mergeCell ref="A20:G20"/>
    <mergeCell ref="A21:B21"/>
  </mergeCells>
  <phoneticPr fontId="0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CCFF"/>
    <pageSetUpPr fitToPage="1"/>
  </sheetPr>
  <dimension ref="A1:Z83"/>
  <sheetViews>
    <sheetView showZeros="0" topLeftCell="A24" zoomScale="75" zoomScaleNormal="75" workbookViewId="0">
      <selection activeCell="L66" sqref="L66"/>
    </sheetView>
  </sheetViews>
  <sheetFormatPr baseColWidth="10" defaultColWidth="11.44140625" defaultRowHeight="11.4"/>
  <cols>
    <col min="1" max="1" width="9.33203125" style="523" customWidth="1"/>
    <col min="2" max="2" width="56.5546875" style="523" customWidth="1"/>
    <col min="3" max="3" width="10.109375" style="523" customWidth="1"/>
    <col min="4" max="4" width="10" style="523" customWidth="1"/>
    <col min="5" max="5" width="10.33203125" style="523" customWidth="1"/>
    <col min="6" max="6" width="9.5546875" style="1228" customWidth="1"/>
    <col min="7" max="7" width="7.6640625" style="523" customWidth="1"/>
    <col min="8" max="8" width="9.33203125" style="523" customWidth="1"/>
    <col min="9" max="9" width="9.109375" style="523" customWidth="1"/>
    <col min="10" max="10" width="9.33203125" style="523" customWidth="1"/>
    <col min="11" max="11" width="9.109375" style="523" customWidth="1"/>
    <col min="12" max="12" width="10.33203125" style="523" customWidth="1"/>
    <col min="13" max="13" width="7.33203125" style="523" customWidth="1"/>
    <col min="14" max="14" width="8" style="523" customWidth="1"/>
    <col min="15" max="15" width="7.88671875" style="523" customWidth="1"/>
    <col min="16" max="16" width="12" style="523" customWidth="1"/>
    <col min="17" max="16384" width="11.44140625" style="523"/>
  </cols>
  <sheetData>
    <row r="1" spans="1:15" ht="15" customHeight="1"/>
    <row r="2" spans="1:15" s="529" customFormat="1" ht="24" customHeight="1">
      <c r="A2" s="2237" t="str">
        <f>'fiche technique'!A4</f>
        <v>Bilan de la campagne 2014 de recrutement et d'affectation des maîtres de conférences (session synchronisée - ANTEE)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</row>
    <row r="3" spans="1:15" s="529" customFormat="1" ht="15" customHeight="1">
      <c r="A3" s="530"/>
      <c r="B3" s="530"/>
      <c r="C3" s="530"/>
      <c r="D3" s="530"/>
      <c r="E3" s="530"/>
      <c r="F3" s="1229"/>
    </row>
    <row r="4" spans="1:15" s="529" customFormat="1" ht="18.75" customHeight="1">
      <c r="A4" s="2130" t="s">
        <v>6</v>
      </c>
      <c r="B4" s="2130"/>
      <c r="C4" s="2130"/>
      <c r="D4" s="2130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</row>
    <row r="5" spans="1:15" s="529" customFormat="1" ht="19.5" customHeight="1">
      <c r="A5" s="2130" t="s">
        <v>703</v>
      </c>
      <c r="B5" s="2130"/>
      <c r="C5" s="2130"/>
      <c r="D5" s="2130"/>
      <c r="E5" s="2130"/>
      <c r="F5" s="2130"/>
      <c r="G5" s="2130"/>
      <c r="H5" s="2130"/>
      <c r="I5" s="2130"/>
      <c r="J5" s="2130"/>
      <c r="K5" s="2130"/>
      <c r="L5" s="2130"/>
      <c r="M5" s="2130"/>
      <c r="N5" s="2130"/>
      <c r="O5" s="2130"/>
    </row>
    <row r="6" spans="1:15" ht="15" customHeight="1">
      <c r="A6" s="607"/>
      <c r="B6" s="607"/>
      <c r="C6" s="607"/>
      <c r="D6" s="607"/>
      <c r="E6" s="607"/>
      <c r="F6" s="607"/>
    </row>
    <row r="7" spans="1:15" s="529" customFormat="1" ht="19.5" customHeight="1">
      <c r="A7" s="2131" t="s">
        <v>746</v>
      </c>
      <c r="B7" s="2131"/>
      <c r="C7" s="2131"/>
      <c r="D7" s="2131"/>
      <c r="E7" s="2131"/>
      <c r="F7" s="2131"/>
      <c r="G7" s="2131"/>
      <c r="H7" s="2131"/>
      <c r="I7" s="2131"/>
      <c r="J7" s="2131"/>
      <c r="K7" s="2131"/>
      <c r="L7" s="2131"/>
      <c r="M7" s="2131"/>
      <c r="N7" s="2131"/>
      <c r="O7" s="2131"/>
    </row>
    <row r="8" spans="1:15" s="1584" customFormat="1" ht="37.5" customHeight="1">
      <c r="A8" s="1584" t="s">
        <v>7</v>
      </c>
      <c r="D8" s="2238" t="s">
        <v>750</v>
      </c>
      <c r="E8" s="2238"/>
      <c r="F8" s="2238"/>
      <c r="G8" s="2239" t="s">
        <v>751</v>
      </c>
      <c r="H8" s="2239"/>
      <c r="I8" s="2239"/>
      <c r="J8" s="2240" t="s">
        <v>749</v>
      </c>
      <c r="K8" s="2241"/>
      <c r="L8" s="2242"/>
      <c r="M8" s="2243" t="s">
        <v>752</v>
      </c>
      <c r="N8" s="2239"/>
      <c r="O8" s="2239"/>
    </row>
    <row r="9" spans="1:15" ht="60" customHeight="1">
      <c r="A9" s="1230" t="s">
        <v>8</v>
      </c>
      <c r="B9" s="1230" t="s">
        <v>125</v>
      </c>
      <c r="C9" s="1231" t="s">
        <v>1</v>
      </c>
      <c r="D9" s="1479" t="s">
        <v>577</v>
      </c>
      <c r="E9" s="1479" t="s">
        <v>702</v>
      </c>
      <c r="F9" s="1480" t="s">
        <v>705</v>
      </c>
      <c r="G9" s="1479" t="s">
        <v>577</v>
      </c>
      <c r="H9" s="1479" t="s">
        <v>702</v>
      </c>
      <c r="I9" s="1480" t="s">
        <v>705</v>
      </c>
      <c r="J9" s="1479" t="s">
        <v>577</v>
      </c>
      <c r="K9" s="1479" t="s">
        <v>702</v>
      </c>
      <c r="L9" s="1480" t="s">
        <v>705</v>
      </c>
      <c r="M9" s="1479" t="s">
        <v>577</v>
      </c>
      <c r="N9" s="1479" t="s">
        <v>702</v>
      </c>
      <c r="O9" s="1480" t="s">
        <v>705</v>
      </c>
    </row>
    <row r="10" spans="1:15" s="542" customFormat="1" ht="13.8">
      <c r="A10" s="1232" t="s">
        <v>9</v>
      </c>
      <c r="B10" s="1233" t="s">
        <v>10</v>
      </c>
      <c r="C10" s="1522">
        <v>71</v>
      </c>
      <c r="D10" s="1517">
        <v>1699</v>
      </c>
      <c r="E10" s="1517">
        <v>1218</v>
      </c>
      <c r="F10" s="1518">
        <f>SUM(D10:E10)</f>
        <v>2917</v>
      </c>
      <c r="G10" s="1519">
        <v>99</v>
      </c>
      <c r="H10" s="1519">
        <v>65</v>
      </c>
      <c r="I10" s="1523">
        <f>SUM(G10:H10)</f>
        <v>164</v>
      </c>
      <c r="J10" s="1520">
        <v>34</v>
      </c>
      <c r="K10" s="1520">
        <v>23</v>
      </c>
      <c r="L10" s="1523">
        <f>SUM(J10:K10)</f>
        <v>57</v>
      </c>
      <c r="M10" s="1522">
        <v>6</v>
      </c>
      <c r="N10" s="1522">
        <v>5</v>
      </c>
      <c r="O10" s="1524">
        <f>SUM(M10:N10)</f>
        <v>11</v>
      </c>
    </row>
    <row r="11" spans="1:15" s="542" customFormat="1" ht="13.8">
      <c r="A11" s="1234" t="s">
        <v>11</v>
      </c>
      <c r="B11" s="1235" t="s">
        <v>12</v>
      </c>
      <c r="C11" s="1493">
        <v>36</v>
      </c>
      <c r="D11" s="1486">
        <v>720</v>
      </c>
      <c r="E11" s="1486">
        <v>809</v>
      </c>
      <c r="F11" s="1490">
        <f t="shared" ref="F11:F66" si="0">SUM(D11:E11)</f>
        <v>1529</v>
      </c>
      <c r="G11" s="1521">
        <v>48</v>
      </c>
      <c r="H11" s="1521">
        <v>58</v>
      </c>
      <c r="I11" s="1487">
        <f t="shared" ref="I11:I65" si="1">SUM(G11:H11)</f>
        <v>106</v>
      </c>
      <c r="J11" s="1489">
        <v>17</v>
      </c>
      <c r="K11" s="1489">
        <v>15</v>
      </c>
      <c r="L11" s="1487">
        <f t="shared" ref="L11:L65" si="2">SUM(J11:K11)</f>
        <v>32</v>
      </c>
      <c r="M11" s="1493">
        <v>1</v>
      </c>
      <c r="N11" s="1493">
        <v>3</v>
      </c>
      <c r="O11" s="1494">
        <f t="shared" ref="O11:O65" si="3">SUM(M11:N11)</f>
        <v>4</v>
      </c>
    </row>
    <row r="12" spans="1:15" s="542" customFormat="1" ht="13.8">
      <c r="A12" s="1234" t="s">
        <v>13</v>
      </c>
      <c r="B12" s="1235" t="s">
        <v>14</v>
      </c>
      <c r="C12" s="1493">
        <v>4</v>
      </c>
      <c r="D12" s="1486">
        <v>36</v>
      </c>
      <c r="E12" s="1486">
        <v>83</v>
      </c>
      <c r="F12" s="1490">
        <f t="shared" si="0"/>
        <v>119</v>
      </c>
      <c r="G12" s="1521">
        <v>16</v>
      </c>
      <c r="H12" s="1521">
        <v>29</v>
      </c>
      <c r="I12" s="1487">
        <f t="shared" si="1"/>
        <v>45</v>
      </c>
      <c r="J12" s="1489"/>
      <c r="K12" s="1489">
        <v>4</v>
      </c>
      <c r="L12" s="1487">
        <f t="shared" si="2"/>
        <v>4</v>
      </c>
      <c r="M12" s="1493"/>
      <c r="N12" s="1493"/>
      <c r="O12" s="1494">
        <f t="shared" si="3"/>
        <v>0</v>
      </c>
    </row>
    <row r="13" spans="1:15" s="542" customFormat="1" ht="13.8">
      <c r="A13" s="1234" t="s">
        <v>15</v>
      </c>
      <c r="B13" s="1235" t="s">
        <v>16</v>
      </c>
      <c r="C13" s="1493">
        <v>18</v>
      </c>
      <c r="D13" s="1486">
        <v>700</v>
      </c>
      <c r="E13" s="1486">
        <v>818</v>
      </c>
      <c r="F13" s="1490">
        <f t="shared" si="0"/>
        <v>1518</v>
      </c>
      <c r="G13" s="1521">
        <v>136</v>
      </c>
      <c r="H13" s="1521">
        <v>185</v>
      </c>
      <c r="I13" s="1487">
        <f t="shared" si="1"/>
        <v>321</v>
      </c>
      <c r="J13" s="1489">
        <v>9</v>
      </c>
      <c r="K13" s="1489">
        <v>8</v>
      </c>
      <c r="L13" s="1487">
        <f t="shared" si="2"/>
        <v>17</v>
      </c>
      <c r="M13" s="1493">
        <v>0</v>
      </c>
      <c r="N13" s="1493">
        <v>1</v>
      </c>
      <c r="O13" s="1494">
        <f t="shared" si="3"/>
        <v>1</v>
      </c>
    </row>
    <row r="14" spans="1:15" s="542" customFormat="1" ht="13.8">
      <c r="A14" s="1234" t="s">
        <v>17</v>
      </c>
      <c r="B14" s="1236" t="s">
        <v>742</v>
      </c>
      <c r="C14" s="1493">
        <v>50</v>
      </c>
      <c r="D14" s="1486">
        <v>1127</v>
      </c>
      <c r="E14" s="1486">
        <v>2129</v>
      </c>
      <c r="F14" s="1490">
        <f t="shared" si="0"/>
        <v>3256</v>
      </c>
      <c r="G14" s="1521">
        <v>125</v>
      </c>
      <c r="H14" s="1521">
        <v>202</v>
      </c>
      <c r="I14" s="1487">
        <f t="shared" si="1"/>
        <v>327</v>
      </c>
      <c r="J14" s="1489">
        <v>17</v>
      </c>
      <c r="K14" s="1489">
        <v>22</v>
      </c>
      <c r="L14" s="1487">
        <f t="shared" si="2"/>
        <v>39</v>
      </c>
      <c r="M14" s="1493">
        <v>5</v>
      </c>
      <c r="N14" s="1493">
        <v>5</v>
      </c>
      <c r="O14" s="1494">
        <f t="shared" si="3"/>
        <v>10</v>
      </c>
    </row>
    <row r="15" spans="1:15" s="542" customFormat="1" ht="13.8">
      <c r="A15" s="1234" t="s">
        <v>19</v>
      </c>
      <c r="B15" s="1235" t="s">
        <v>743</v>
      </c>
      <c r="C15" s="1493">
        <v>101</v>
      </c>
      <c r="D15" s="1486">
        <v>1690</v>
      </c>
      <c r="E15" s="1486">
        <v>1839</v>
      </c>
      <c r="F15" s="1490">
        <f t="shared" si="0"/>
        <v>3529</v>
      </c>
      <c r="G15" s="1521">
        <v>176</v>
      </c>
      <c r="H15" s="1521">
        <v>161</v>
      </c>
      <c r="I15" s="1487">
        <f t="shared" si="1"/>
        <v>337</v>
      </c>
      <c r="J15" s="1489">
        <v>38</v>
      </c>
      <c r="K15" s="1489">
        <v>35</v>
      </c>
      <c r="L15" s="1487">
        <f t="shared" si="2"/>
        <v>73</v>
      </c>
      <c r="M15" s="1493">
        <v>17</v>
      </c>
      <c r="N15" s="1493">
        <v>9</v>
      </c>
      <c r="O15" s="1494">
        <f t="shared" si="3"/>
        <v>26</v>
      </c>
    </row>
    <row r="16" spans="1:15" s="542" customFormat="1" ht="13.8">
      <c r="A16" s="1234" t="s">
        <v>21</v>
      </c>
      <c r="B16" s="1235" t="s">
        <v>22</v>
      </c>
      <c r="C16" s="1493">
        <v>31</v>
      </c>
      <c r="D16" s="1486">
        <v>1227</v>
      </c>
      <c r="E16" s="1486">
        <v>426</v>
      </c>
      <c r="F16" s="1490">
        <f t="shared" si="0"/>
        <v>1653</v>
      </c>
      <c r="G16" s="1521">
        <v>277</v>
      </c>
      <c r="H16" s="1521">
        <v>116</v>
      </c>
      <c r="I16" s="1487">
        <f t="shared" si="1"/>
        <v>393</v>
      </c>
      <c r="J16" s="1489">
        <v>22</v>
      </c>
      <c r="K16" s="1489">
        <v>4</v>
      </c>
      <c r="L16" s="1487">
        <f t="shared" si="2"/>
        <v>26</v>
      </c>
      <c r="M16" s="1493">
        <v>2</v>
      </c>
      <c r="N16" s="1493">
        <v>2</v>
      </c>
      <c r="O16" s="1494">
        <f t="shared" si="3"/>
        <v>4</v>
      </c>
    </row>
    <row r="17" spans="1:15" s="542" customFormat="1" ht="13.8">
      <c r="A17" s="1234" t="s">
        <v>23</v>
      </c>
      <c r="B17" s="1235" t="s">
        <v>24</v>
      </c>
      <c r="C17" s="1493">
        <v>8</v>
      </c>
      <c r="D17" s="1486">
        <v>216</v>
      </c>
      <c r="E17" s="1486">
        <v>82</v>
      </c>
      <c r="F17" s="1490">
        <f t="shared" si="0"/>
        <v>298</v>
      </c>
      <c r="G17" s="1521">
        <v>78</v>
      </c>
      <c r="H17" s="1521">
        <v>37</v>
      </c>
      <c r="I17" s="1487">
        <f t="shared" si="1"/>
        <v>115</v>
      </c>
      <c r="J17" s="1489">
        <v>6</v>
      </c>
      <c r="K17" s="1489">
        <v>3</v>
      </c>
      <c r="L17" s="1487">
        <f t="shared" si="2"/>
        <v>9</v>
      </c>
      <c r="M17" s="1493"/>
      <c r="N17" s="1493"/>
      <c r="O17" s="1494">
        <f t="shared" si="3"/>
        <v>0</v>
      </c>
    </row>
    <row r="18" spans="1:15" s="542" customFormat="1" ht="13.8">
      <c r="A18" s="1234" t="s">
        <v>25</v>
      </c>
      <c r="B18" s="1235" t="s">
        <v>26</v>
      </c>
      <c r="C18" s="1493">
        <v>16</v>
      </c>
      <c r="D18" s="1486">
        <v>518</v>
      </c>
      <c r="E18" s="1486">
        <v>227</v>
      </c>
      <c r="F18" s="1490">
        <f t="shared" si="0"/>
        <v>745</v>
      </c>
      <c r="G18" s="1521">
        <v>287</v>
      </c>
      <c r="H18" s="1521">
        <v>123</v>
      </c>
      <c r="I18" s="1487">
        <f t="shared" si="1"/>
        <v>410</v>
      </c>
      <c r="J18" s="1489">
        <v>7</v>
      </c>
      <c r="K18" s="1489">
        <v>4</v>
      </c>
      <c r="L18" s="1487">
        <f t="shared" si="2"/>
        <v>11</v>
      </c>
      <c r="M18" s="1493">
        <v>2</v>
      </c>
      <c r="N18" s="1493">
        <v>2</v>
      </c>
      <c r="O18" s="1494">
        <f t="shared" si="3"/>
        <v>4</v>
      </c>
    </row>
    <row r="19" spans="1:15" s="542" customFormat="1" ht="13.8">
      <c r="A19" s="1234" t="s">
        <v>27</v>
      </c>
      <c r="B19" s="1235" t="s">
        <v>28</v>
      </c>
      <c r="C19" s="1493">
        <v>7</v>
      </c>
      <c r="D19" s="1486">
        <v>504</v>
      </c>
      <c r="E19" s="1486">
        <v>230</v>
      </c>
      <c r="F19" s="1490">
        <f t="shared" si="0"/>
        <v>734</v>
      </c>
      <c r="G19" s="1521">
        <v>163</v>
      </c>
      <c r="H19" s="1521">
        <v>83</v>
      </c>
      <c r="I19" s="1487">
        <f t="shared" si="1"/>
        <v>246</v>
      </c>
      <c r="J19" s="1489">
        <v>4</v>
      </c>
      <c r="K19" s="1489">
        <v>3</v>
      </c>
      <c r="L19" s="1487">
        <f t="shared" si="2"/>
        <v>7</v>
      </c>
      <c r="M19" s="1493"/>
      <c r="N19" s="1493"/>
      <c r="O19" s="1494">
        <f t="shared" si="3"/>
        <v>0</v>
      </c>
    </row>
    <row r="20" spans="1:15" s="542" customFormat="1" ht="13.8">
      <c r="A20" s="1234" t="s">
        <v>29</v>
      </c>
      <c r="B20" s="1235" t="s">
        <v>30</v>
      </c>
      <c r="C20" s="1493">
        <v>58</v>
      </c>
      <c r="D20" s="1486">
        <v>1416</v>
      </c>
      <c r="E20" s="1486">
        <v>671</v>
      </c>
      <c r="F20" s="1490">
        <f t="shared" si="0"/>
        <v>2087</v>
      </c>
      <c r="G20" s="1521">
        <v>255</v>
      </c>
      <c r="H20" s="1521">
        <v>134</v>
      </c>
      <c r="I20" s="1487">
        <f t="shared" si="1"/>
        <v>389</v>
      </c>
      <c r="J20" s="1489">
        <v>31</v>
      </c>
      <c r="K20" s="1489">
        <v>17</v>
      </c>
      <c r="L20" s="1487">
        <f t="shared" si="2"/>
        <v>48</v>
      </c>
      <c r="M20" s="1493">
        <v>7</v>
      </c>
      <c r="N20" s="1493">
        <v>2</v>
      </c>
      <c r="O20" s="1494">
        <f t="shared" si="3"/>
        <v>9</v>
      </c>
    </row>
    <row r="21" spans="1:15" s="542" customFormat="1" ht="13.8">
      <c r="A21" s="1234" t="s">
        <v>31</v>
      </c>
      <c r="B21" s="1235" t="s">
        <v>32</v>
      </c>
      <c r="C21" s="1493">
        <v>8</v>
      </c>
      <c r="D21" s="1486">
        <v>182</v>
      </c>
      <c r="E21" s="1486">
        <v>68</v>
      </c>
      <c r="F21" s="1490">
        <f t="shared" si="0"/>
        <v>250</v>
      </c>
      <c r="G21" s="1521">
        <v>61</v>
      </c>
      <c r="H21" s="1521">
        <v>26</v>
      </c>
      <c r="I21" s="1487">
        <f t="shared" si="1"/>
        <v>87</v>
      </c>
      <c r="J21" s="1489">
        <v>4</v>
      </c>
      <c r="K21" s="1489">
        <v>1</v>
      </c>
      <c r="L21" s="1487">
        <f t="shared" si="2"/>
        <v>5</v>
      </c>
      <c r="M21" s="1493">
        <v>3</v>
      </c>
      <c r="N21" s="1493">
        <v>0</v>
      </c>
      <c r="O21" s="1494">
        <f t="shared" si="3"/>
        <v>3</v>
      </c>
    </row>
    <row r="22" spans="1:15" s="542" customFormat="1" ht="13.8">
      <c r="A22" s="1234" t="s">
        <v>33</v>
      </c>
      <c r="B22" s="1235" t="s">
        <v>34</v>
      </c>
      <c r="C22" s="1493">
        <v>2</v>
      </c>
      <c r="D22" s="1486">
        <v>26</v>
      </c>
      <c r="E22" s="1486">
        <v>4</v>
      </c>
      <c r="F22" s="1490">
        <f t="shared" si="0"/>
        <v>30</v>
      </c>
      <c r="G22" s="1521">
        <v>26</v>
      </c>
      <c r="H22" s="1521">
        <v>4</v>
      </c>
      <c r="I22" s="1487">
        <f t="shared" si="1"/>
        <v>30</v>
      </c>
      <c r="J22" s="1489">
        <v>1</v>
      </c>
      <c r="K22" s="1489"/>
      <c r="L22" s="1487">
        <f t="shared" si="2"/>
        <v>1</v>
      </c>
      <c r="M22" s="1493"/>
      <c r="N22" s="1493"/>
      <c r="O22" s="1494">
        <f t="shared" si="3"/>
        <v>0</v>
      </c>
    </row>
    <row r="23" spans="1:15" s="542" customFormat="1" ht="22.8">
      <c r="A23" s="1234" t="s">
        <v>35</v>
      </c>
      <c r="B23" s="1237" t="s">
        <v>36</v>
      </c>
      <c r="C23" s="1493">
        <v>37</v>
      </c>
      <c r="D23" s="1486">
        <v>1187</v>
      </c>
      <c r="E23" s="1486">
        <v>545</v>
      </c>
      <c r="F23" s="1490">
        <f t="shared" si="0"/>
        <v>1732</v>
      </c>
      <c r="G23" s="1521">
        <v>231</v>
      </c>
      <c r="H23" s="1521">
        <v>103</v>
      </c>
      <c r="I23" s="1487">
        <f t="shared" si="1"/>
        <v>334</v>
      </c>
      <c r="J23" s="1489">
        <v>16</v>
      </c>
      <c r="K23" s="1489">
        <v>10</v>
      </c>
      <c r="L23" s="1487">
        <f t="shared" si="2"/>
        <v>26</v>
      </c>
      <c r="M23" s="1493">
        <v>3</v>
      </c>
      <c r="N23" s="1493">
        <v>5</v>
      </c>
      <c r="O23" s="1494">
        <f t="shared" si="3"/>
        <v>8</v>
      </c>
    </row>
    <row r="24" spans="1:15" s="542" customFormat="1" ht="22.8">
      <c r="A24" s="1234" t="s">
        <v>37</v>
      </c>
      <c r="B24" s="1237" t="s">
        <v>122</v>
      </c>
      <c r="C24" s="1493">
        <v>16</v>
      </c>
      <c r="D24" s="1486">
        <v>169</v>
      </c>
      <c r="E24" s="1486">
        <v>140</v>
      </c>
      <c r="F24" s="1490">
        <f t="shared" si="0"/>
        <v>309</v>
      </c>
      <c r="G24" s="1521">
        <v>77</v>
      </c>
      <c r="H24" s="1521">
        <v>63</v>
      </c>
      <c r="I24" s="1487">
        <f t="shared" si="1"/>
        <v>140</v>
      </c>
      <c r="J24" s="1489">
        <v>7</v>
      </c>
      <c r="K24" s="1489">
        <v>8</v>
      </c>
      <c r="L24" s="1487">
        <f t="shared" si="2"/>
        <v>15</v>
      </c>
      <c r="M24" s="1493">
        <v>0</v>
      </c>
      <c r="N24" s="1493">
        <v>1</v>
      </c>
      <c r="O24" s="1494">
        <f t="shared" si="3"/>
        <v>1</v>
      </c>
    </row>
    <row r="25" spans="1:15" s="542" customFormat="1" ht="13.8">
      <c r="A25" s="1234" t="s">
        <v>38</v>
      </c>
      <c r="B25" s="1235" t="s">
        <v>39</v>
      </c>
      <c r="C25" s="1493">
        <v>54</v>
      </c>
      <c r="D25" s="1486">
        <v>713</v>
      </c>
      <c r="E25" s="1486">
        <v>573</v>
      </c>
      <c r="F25" s="1490">
        <f t="shared" si="0"/>
        <v>1286</v>
      </c>
      <c r="G25" s="1521">
        <v>210</v>
      </c>
      <c r="H25" s="1521">
        <v>157</v>
      </c>
      <c r="I25" s="1487">
        <f t="shared" si="1"/>
        <v>367</v>
      </c>
      <c r="J25" s="1489">
        <v>30</v>
      </c>
      <c r="K25" s="1489">
        <v>18</v>
      </c>
      <c r="L25" s="1487">
        <f t="shared" si="2"/>
        <v>48</v>
      </c>
      <c r="M25" s="1493">
        <v>1</v>
      </c>
      <c r="N25" s="1493">
        <v>1</v>
      </c>
      <c r="O25" s="1494">
        <f t="shared" si="3"/>
        <v>2</v>
      </c>
    </row>
    <row r="26" spans="1:15" s="542" customFormat="1" ht="13.8">
      <c r="A26" s="1234" t="s">
        <v>40</v>
      </c>
      <c r="B26" s="1235" t="s">
        <v>41</v>
      </c>
      <c r="C26" s="1493">
        <v>13</v>
      </c>
      <c r="D26" s="1486">
        <v>295</v>
      </c>
      <c r="E26" s="1486">
        <v>555</v>
      </c>
      <c r="F26" s="1490">
        <f t="shared" si="0"/>
        <v>850</v>
      </c>
      <c r="G26" s="1521">
        <v>103</v>
      </c>
      <c r="H26" s="1521">
        <v>210</v>
      </c>
      <c r="I26" s="1487">
        <f t="shared" si="1"/>
        <v>313</v>
      </c>
      <c r="J26" s="1489">
        <v>4</v>
      </c>
      <c r="K26" s="1489">
        <v>8</v>
      </c>
      <c r="L26" s="1487">
        <f t="shared" si="2"/>
        <v>12</v>
      </c>
      <c r="M26" s="1493">
        <v>0</v>
      </c>
      <c r="N26" s="1493">
        <v>2</v>
      </c>
      <c r="O26" s="1494">
        <f t="shared" si="3"/>
        <v>2</v>
      </c>
    </row>
    <row r="27" spans="1:15" s="542" customFormat="1" ht="34.200000000000003">
      <c r="A27" s="1234" t="s">
        <v>42</v>
      </c>
      <c r="B27" s="1237" t="s">
        <v>230</v>
      </c>
      <c r="C27" s="1493">
        <v>33</v>
      </c>
      <c r="D27" s="1486">
        <v>805</v>
      </c>
      <c r="E27" s="1486">
        <v>621</v>
      </c>
      <c r="F27" s="1490">
        <f t="shared" si="0"/>
        <v>1426</v>
      </c>
      <c r="G27" s="1521">
        <v>263</v>
      </c>
      <c r="H27" s="1521">
        <v>191</v>
      </c>
      <c r="I27" s="1487">
        <f t="shared" si="1"/>
        <v>454</v>
      </c>
      <c r="J27" s="1489">
        <v>13</v>
      </c>
      <c r="K27" s="1489">
        <v>17</v>
      </c>
      <c r="L27" s="1487">
        <f t="shared" si="2"/>
        <v>30</v>
      </c>
      <c r="M27" s="1493">
        <v>1</v>
      </c>
      <c r="N27" s="1493">
        <v>2</v>
      </c>
      <c r="O27" s="1494">
        <f t="shared" si="3"/>
        <v>3</v>
      </c>
    </row>
    <row r="28" spans="1:15" s="542" customFormat="1" ht="13.8">
      <c r="A28" s="1234" t="s">
        <v>43</v>
      </c>
      <c r="B28" s="1235" t="s">
        <v>44</v>
      </c>
      <c r="C28" s="1493">
        <v>29</v>
      </c>
      <c r="D28" s="1486">
        <v>1206</v>
      </c>
      <c r="E28" s="1486">
        <v>1154</v>
      </c>
      <c r="F28" s="1490">
        <f t="shared" si="0"/>
        <v>2360</v>
      </c>
      <c r="G28" s="1521">
        <v>303</v>
      </c>
      <c r="H28" s="1521">
        <v>264</v>
      </c>
      <c r="I28" s="1487">
        <f t="shared" si="1"/>
        <v>567</v>
      </c>
      <c r="J28" s="1489">
        <v>15</v>
      </c>
      <c r="K28" s="1489">
        <v>13</v>
      </c>
      <c r="L28" s="1487">
        <f t="shared" si="2"/>
        <v>28</v>
      </c>
      <c r="M28" s="1493">
        <v>1</v>
      </c>
      <c r="N28" s="1493">
        <v>0</v>
      </c>
      <c r="O28" s="1494">
        <f t="shared" si="3"/>
        <v>1</v>
      </c>
    </row>
    <row r="29" spans="1:15" s="542" customFormat="1" ht="13.8">
      <c r="A29" s="1234" t="s">
        <v>45</v>
      </c>
      <c r="B29" s="1235" t="s">
        <v>320</v>
      </c>
      <c r="C29" s="1493">
        <v>6</v>
      </c>
      <c r="D29" s="1486">
        <v>157</v>
      </c>
      <c r="E29" s="1486">
        <v>81</v>
      </c>
      <c r="F29" s="1490">
        <f t="shared" si="0"/>
        <v>238</v>
      </c>
      <c r="G29" s="1521">
        <v>104</v>
      </c>
      <c r="H29" s="1521">
        <v>55</v>
      </c>
      <c r="I29" s="1487">
        <f t="shared" si="1"/>
        <v>159</v>
      </c>
      <c r="J29" s="1489">
        <v>2</v>
      </c>
      <c r="K29" s="1489">
        <v>3</v>
      </c>
      <c r="L29" s="1487">
        <f t="shared" si="2"/>
        <v>5</v>
      </c>
      <c r="M29" s="1493">
        <v>1</v>
      </c>
      <c r="N29" s="1493">
        <v>0</v>
      </c>
      <c r="O29" s="1494">
        <f t="shared" si="3"/>
        <v>1</v>
      </c>
    </row>
    <row r="30" spans="1:15" s="542" customFormat="1" ht="22.8">
      <c r="A30" s="1234" t="s">
        <v>46</v>
      </c>
      <c r="B30" s="1237" t="s">
        <v>744</v>
      </c>
      <c r="C30" s="1493">
        <v>16</v>
      </c>
      <c r="D30" s="1486">
        <v>304</v>
      </c>
      <c r="E30" s="1486">
        <v>267</v>
      </c>
      <c r="F30" s="1490">
        <f t="shared" si="0"/>
        <v>571</v>
      </c>
      <c r="G30" s="1521">
        <v>147</v>
      </c>
      <c r="H30" s="1521">
        <v>126</v>
      </c>
      <c r="I30" s="1487">
        <f t="shared" si="1"/>
        <v>273</v>
      </c>
      <c r="J30" s="1489">
        <v>8</v>
      </c>
      <c r="K30" s="1489">
        <v>8</v>
      </c>
      <c r="L30" s="1487">
        <f t="shared" si="2"/>
        <v>16</v>
      </c>
      <c r="M30" s="1493"/>
      <c r="N30" s="1493"/>
      <c r="O30" s="1494">
        <f t="shared" si="3"/>
        <v>0</v>
      </c>
    </row>
    <row r="31" spans="1:15" s="542" customFormat="1" ht="22.8">
      <c r="A31" s="1234" t="s">
        <v>47</v>
      </c>
      <c r="B31" s="1237" t="s">
        <v>232</v>
      </c>
      <c r="C31" s="1493">
        <v>37</v>
      </c>
      <c r="D31" s="1486">
        <v>956</v>
      </c>
      <c r="E31" s="1486">
        <v>1249</v>
      </c>
      <c r="F31" s="1490">
        <f t="shared" si="0"/>
        <v>2205</v>
      </c>
      <c r="G31" s="1521">
        <v>292</v>
      </c>
      <c r="H31" s="1521">
        <v>345</v>
      </c>
      <c r="I31" s="1487">
        <f t="shared" si="1"/>
        <v>637</v>
      </c>
      <c r="J31" s="1489">
        <v>12</v>
      </c>
      <c r="K31" s="1489">
        <v>25</v>
      </c>
      <c r="L31" s="1487">
        <f t="shared" si="2"/>
        <v>37</v>
      </c>
      <c r="M31" s="1493"/>
      <c r="N31" s="1493"/>
      <c r="O31" s="1494">
        <f t="shared" si="3"/>
        <v>0</v>
      </c>
    </row>
    <row r="32" spans="1:15" s="542" customFormat="1" ht="13.8">
      <c r="A32" s="1234" t="s">
        <v>48</v>
      </c>
      <c r="B32" s="1235" t="s">
        <v>49</v>
      </c>
      <c r="C32" s="1493">
        <v>20</v>
      </c>
      <c r="D32" s="1486">
        <v>498</v>
      </c>
      <c r="E32" s="1486">
        <v>507</v>
      </c>
      <c r="F32" s="1490">
        <f t="shared" si="0"/>
        <v>1005</v>
      </c>
      <c r="G32" s="1521">
        <v>150</v>
      </c>
      <c r="H32" s="1521">
        <v>160</v>
      </c>
      <c r="I32" s="1487">
        <f t="shared" si="1"/>
        <v>310</v>
      </c>
      <c r="J32" s="1489">
        <v>10</v>
      </c>
      <c r="K32" s="1489">
        <v>8</v>
      </c>
      <c r="L32" s="1487">
        <f t="shared" si="2"/>
        <v>18</v>
      </c>
      <c r="M32" s="1493">
        <v>0</v>
      </c>
      <c r="N32" s="1493">
        <v>2</v>
      </c>
      <c r="O32" s="1494">
        <f t="shared" si="3"/>
        <v>2</v>
      </c>
    </row>
    <row r="33" spans="1:15" s="542" customFormat="1" ht="13.8">
      <c r="A33" s="1234" t="s">
        <v>50</v>
      </c>
      <c r="B33" s="1235" t="s">
        <v>51</v>
      </c>
      <c r="C33" s="1493">
        <v>7</v>
      </c>
      <c r="D33" s="1486">
        <v>145</v>
      </c>
      <c r="E33" s="1486">
        <v>156</v>
      </c>
      <c r="F33" s="1490">
        <f t="shared" si="0"/>
        <v>301</v>
      </c>
      <c r="G33" s="1521">
        <v>55</v>
      </c>
      <c r="H33" s="1521">
        <v>69</v>
      </c>
      <c r="I33" s="1487">
        <f t="shared" si="1"/>
        <v>124</v>
      </c>
      <c r="J33" s="1489">
        <v>4</v>
      </c>
      <c r="K33" s="1489">
        <v>2</v>
      </c>
      <c r="L33" s="1487">
        <f t="shared" si="2"/>
        <v>6</v>
      </c>
      <c r="M33" s="1493">
        <v>1</v>
      </c>
      <c r="N33" s="1493">
        <v>0</v>
      </c>
      <c r="O33" s="1494">
        <f t="shared" si="3"/>
        <v>1</v>
      </c>
    </row>
    <row r="34" spans="1:15" s="542" customFormat="1" ht="13.8">
      <c r="A34" s="1234" t="s">
        <v>52</v>
      </c>
      <c r="B34" s="1235" t="s">
        <v>53</v>
      </c>
      <c r="C34" s="1493">
        <v>16</v>
      </c>
      <c r="D34" s="1486">
        <v>393</v>
      </c>
      <c r="E34" s="1486">
        <v>1545</v>
      </c>
      <c r="F34" s="1490">
        <f t="shared" si="0"/>
        <v>1938</v>
      </c>
      <c r="G34" s="1521">
        <v>94</v>
      </c>
      <c r="H34" s="1521">
        <v>340</v>
      </c>
      <c r="I34" s="1487">
        <f t="shared" si="1"/>
        <v>434</v>
      </c>
      <c r="J34" s="1489">
        <v>2</v>
      </c>
      <c r="K34" s="1489">
        <v>14</v>
      </c>
      <c r="L34" s="1487">
        <f t="shared" si="2"/>
        <v>16</v>
      </c>
      <c r="M34" s="1493"/>
      <c r="N34" s="1493"/>
      <c r="O34" s="1494">
        <f t="shared" si="3"/>
        <v>0</v>
      </c>
    </row>
    <row r="35" spans="1:15" s="542" customFormat="1" ht="13.8">
      <c r="A35" s="1234" t="s">
        <v>54</v>
      </c>
      <c r="B35" s="1235" t="s">
        <v>55</v>
      </c>
      <c r="C35" s="1493">
        <v>44</v>
      </c>
      <c r="D35" s="1486">
        <v>614</v>
      </c>
      <c r="E35" s="1486">
        <v>1688</v>
      </c>
      <c r="F35" s="1490">
        <f t="shared" si="0"/>
        <v>2302</v>
      </c>
      <c r="G35" s="1521">
        <v>104</v>
      </c>
      <c r="H35" s="1521">
        <v>314</v>
      </c>
      <c r="I35" s="1487">
        <f t="shared" si="1"/>
        <v>418</v>
      </c>
      <c r="J35" s="1489">
        <v>9</v>
      </c>
      <c r="K35" s="1489">
        <v>35</v>
      </c>
      <c r="L35" s="1487">
        <f t="shared" si="2"/>
        <v>44</v>
      </c>
      <c r="M35" s="1493"/>
      <c r="N35" s="1493"/>
      <c r="O35" s="1494">
        <f t="shared" si="3"/>
        <v>0</v>
      </c>
    </row>
    <row r="36" spans="1:15" s="542" customFormat="1" ht="13.8">
      <c r="A36" s="1234" t="s">
        <v>56</v>
      </c>
      <c r="B36" s="1235" t="s">
        <v>57</v>
      </c>
      <c r="C36" s="1493">
        <v>88</v>
      </c>
      <c r="D36" s="1486">
        <v>717</v>
      </c>
      <c r="E36" s="1486">
        <v>1750</v>
      </c>
      <c r="F36" s="1490">
        <f t="shared" si="0"/>
        <v>2467</v>
      </c>
      <c r="G36" s="1521">
        <v>139</v>
      </c>
      <c r="H36" s="1521">
        <v>443</v>
      </c>
      <c r="I36" s="1487">
        <f t="shared" si="1"/>
        <v>582</v>
      </c>
      <c r="J36" s="1489">
        <v>24</v>
      </c>
      <c r="K36" s="1489">
        <v>56</v>
      </c>
      <c r="L36" s="1487">
        <f t="shared" si="2"/>
        <v>80</v>
      </c>
      <c r="M36" s="1493">
        <v>0</v>
      </c>
      <c r="N36" s="1493">
        <v>4</v>
      </c>
      <c r="O36" s="1494">
        <f t="shared" si="3"/>
        <v>4</v>
      </c>
    </row>
    <row r="37" spans="1:15" s="542" customFormat="1" ht="13.8">
      <c r="A37" s="1234" t="s">
        <v>58</v>
      </c>
      <c r="B37" s="1235" t="s">
        <v>59</v>
      </c>
      <c r="C37" s="1493">
        <v>23</v>
      </c>
      <c r="D37" s="1486">
        <v>108</v>
      </c>
      <c r="E37" s="1486">
        <v>573</v>
      </c>
      <c r="F37" s="1490">
        <f t="shared" si="0"/>
        <v>681</v>
      </c>
      <c r="G37" s="1521">
        <v>78</v>
      </c>
      <c r="H37" s="1521">
        <v>259</v>
      </c>
      <c r="I37" s="1487">
        <f t="shared" si="1"/>
        <v>337</v>
      </c>
      <c r="J37" s="1489">
        <v>3</v>
      </c>
      <c r="K37" s="1489">
        <v>19</v>
      </c>
      <c r="L37" s="1487">
        <f t="shared" si="2"/>
        <v>22</v>
      </c>
      <c r="M37" s="1493">
        <v>0</v>
      </c>
      <c r="N37" s="1493">
        <v>1</v>
      </c>
      <c r="O37" s="1494">
        <f t="shared" si="3"/>
        <v>1</v>
      </c>
    </row>
    <row r="38" spans="1:15" s="542" customFormat="1" ht="13.8">
      <c r="A38" s="1234" t="s">
        <v>60</v>
      </c>
      <c r="B38" s="1235" t="s">
        <v>61</v>
      </c>
      <c r="C38" s="1493">
        <v>5</v>
      </c>
      <c r="D38" s="1486">
        <v>21</v>
      </c>
      <c r="E38" s="1486">
        <v>101</v>
      </c>
      <c r="F38" s="1490">
        <f t="shared" si="0"/>
        <v>122</v>
      </c>
      <c r="G38" s="1521">
        <v>19</v>
      </c>
      <c r="H38" s="1521">
        <v>85</v>
      </c>
      <c r="I38" s="1487">
        <f t="shared" si="1"/>
        <v>104</v>
      </c>
      <c r="J38" s="1489"/>
      <c r="K38" s="1489">
        <v>5</v>
      </c>
      <c r="L38" s="1487">
        <f t="shared" si="2"/>
        <v>5</v>
      </c>
      <c r="M38" s="1493"/>
      <c r="N38" s="1493"/>
      <c r="O38" s="1494">
        <f t="shared" si="3"/>
        <v>0</v>
      </c>
    </row>
    <row r="39" spans="1:15" s="542" customFormat="1" ht="13.8">
      <c r="A39" s="1234" t="s">
        <v>62</v>
      </c>
      <c r="B39" s="1235" t="s">
        <v>63</v>
      </c>
      <c r="C39" s="1493">
        <v>10</v>
      </c>
      <c r="D39" s="1486">
        <v>46</v>
      </c>
      <c r="E39" s="1486">
        <v>183</v>
      </c>
      <c r="F39" s="1490">
        <f t="shared" si="0"/>
        <v>229</v>
      </c>
      <c r="G39" s="1521">
        <v>35</v>
      </c>
      <c r="H39" s="1521">
        <v>105</v>
      </c>
      <c r="I39" s="1487">
        <f t="shared" si="1"/>
        <v>140</v>
      </c>
      <c r="J39" s="1489">
        <v>1</v>
      </c>
      <c r="K39" s="1489">
        <v>9</v>
      </c>
      <c r="L39" s="1487">
        <f t="shared" si="2"/>
        <v>10</v>
      </c>
      <c r="M39" s="1493"/>
      <c r="N39" s="1493"/>
      <c r="O39" s="1494">
        <f t="shared" si="3"/>
        <v>0</v>
      </c>
    </row>
    <row r="40" spans="1:15" s="542" customFormat="1" ht="13.8">
      <c r="A40" s="1234" t="s">
        <v>64</v>
      </c>
      <c r="B40" s="1235" t="s">
        <v>65</v>
      </c>
      <c r="C40" s="1493">
        <v>9</v>
      </c>
      <c r="D40" s="1486">
        <v>116</v>
      </c>
      <c r="E40" s="1486">
        <v>195</v>
      </c>
      <c r="F40" s="1490">
        <f t="shared" si="0"/>
        <v>311</v>
      </c>
      <c r="G40" s="1521">
        <v>84</v>
      </c>
      <c r="H40" s="1521">
        <v>128</v>
      </c>
      <c r="I40" s="1487">
        <f t="shared" si="1"/>
        <v>212</v>
      </c>
      <c r="J40" s="1489">
        <v>4</v>
      </c>
      <c r="K40" s="1489">
        <v>5</v>
      </c>
      <c r="L40" s="1487">
        <f t="shared" si="2"/>
        <v>9</v>
      </c>
      <c r="M40" s="1493"/>
      <c r="N40" s="1493"/>
      <c r="O40" s="1494">
        <f t="shared" si="3"/>
        <v>0</v>
      </c>
    </row>
    <row r="41" spans="1:15" s="542" customFormat="1" ht="13.8">
      <c r="A41" s="1234" t="s">
        <v>66</v>
      </c>
      <c r="B41" s="1235" t="s">
        <v>67</v>
      </c>
      <c r="C41" s="1493">
        <v>8</v>
      </c>
      <c r="D41" s="1486">
        <v>199</v>
      </c>
      <c r="E41" s="1486">
        <v>399</v>
      </c>
      <c r="F41" s="1490">
        <f t="shared" si="0"/>
        <v>598</v>
      </c>
      <c r="G41" s="1521">
        <v>89</v>
      </c>
      <c r="H41" s="1521">
        <v>140</v>
      </c>
      <c r="I41" s="1487">
        <f t="shared" si="1"/>
        <v>229</v>
      </c>
      <c r="J41" s="1489">
        <v>3</v>
      </c>
      <c r="K41" s="1489">
        <v>5</v>
      </c>
      <c r="L41" s="1487">
        <f t="shared" si="2"/>
        <v>8</v>
      </c>
      <c r="M41" s="1493"/>
      <c r="N41" s="1493"/>
      <c r="O41" s="1494">
        <f t="shared" si="3"/>
        <v>0</v>
      </c>
    </row>
    <row r="42" spans="1:15" s="542" customFormat="1" ht="13.8">
      <c r="A42" s="1234" t="s">
        <v>68</v>
      </c>
      <c r="B42" s="1235" t="s">
        <v>69</v>
      </c>
      <c r="C42" s="1493">
        <v>13</v>
      </c>
      <c r="D42" s="1486">
        <v>170</v>
      </c>
      <c r="E42" s="1486">
        <v>290</v>
      </c>
      <c r="F42" s="1490">
        <f t="shared" si="0"/>
        <v>460</v>
      </c>
      <c r="G42" s="1521">
        <v>89</v>
      </c>
      <c r="H42" s="1521">
        <v>156</v>
      </c>
      <c r="I42" s="1487">
        <f t="shared" si="1"/>
        <v>245</v>
      </c>
      <c r="J42" s="1489">
        <v>7</v>
      </c>
      <c r="K42" s="1489">
        <v>6</v>
      </c>
      <c r="L42" s="1487">
        <f t="shared" si="2"/>
        <v>13</v>
      </c>
      <c r="M42" s="1493"/>
      <c r="N42" s="1493"/>
      <c r="O42" s="1494">
        <f t="shared" si="3"/>
        <v>0</v>
      </c>
    </row>
    <row r="43" spans="1:15" s="542" customFormat="1" ht="13.8">
      <c r="A43" s="1234" t="s">
        <v>70</v>
      </c>
      <c r="B43" s="1235" t="s">
        <v>71</v>
      </c>
      <c r="C43" s="1493">
        <v>3</v>
      </c>
      <c r="D43" s="1486">
        <v>8</v>
      </c>
      <c r="E43" s="1486">
        <v>16</v>
      </c>
      <c r="F43" s="1490">
        <f t="shared" si="0"/>
        <v>24</v>
      </c>
      <c r="G43" s="1521">
        <v>8</v>
      </c>
      <c r="H43" s="1521">
        <v>14</v>
      </c>
      <c r="I43" s="1487">
        <f t="shared" si="1"/>
        <v>22</v>
      </c>
      <c r="J43" s="1489"/>
      <c r="K43" s="1489">
        <v>2</v>
      </c>
      <c r="L43" s="1487">
        <f t="shared" si="2"/>
        <v>2</v>
      </c>
      <c r="M43" s="1493">
        <v>1</v>
      </c>
      <c r="N43" s="1493">
        <v>0</v>
      </c>
      <c r="O43" s="1494">
        <f t="shared" si="3"/>
        <v>1</v>
      </c>
    </row>
    <row r="44" spans="1:15" s="542" customFormat="1" ht="13.8">
      <c r="A44" s="1234" t="s">
        <v>72</v>
      </c>
      <c r="B44" s="1235" t="s">
        <v>73</v>
      </c>
      <c r="C44" s="1493">
        <v>10</v>
      </c>
      <c r="D44" s="1486">
        <v>99</v>
      </c>
      <c r="E44" s="1486">
        <v>144</v>
      </c>
      <c r="F44" s="1490">
        <f t="shared" si="0"/>
        <v>243</v>
      </c>
      <c r="G44" s="1521">
        <v>73</v>
      </c>
      <c r="H44" s="1521">
        <v>99</v>
      </c>
      <c r="I44" s="1487">
        <f t="shared" si="1"/>
        <v>172</v>
      </c>
      <c r="J44" s="1489">
        <v>2</v>
      </c>
      <c r="K44" s="1489">
        <v>8</v>
      </c>
      <c r="L44" s="1487">
        <f t="shared" si="2"/>
        <v>10</v>
      </c>
      <c r="M44" s="1493"/>
      <c r="N44" s="1493"/>
      <c r="O44" s="1494">
        <f t="shared" si="3"/>
        <v>0</v>
      </c>
    </row>
    <row r="45" spans="1:15" s="542" customFormat="1" ht="21.75" customHeight="1">
      <c r="A45" s="1234" t="s">
        <v>74</v>
      </c>
      <c r="B45" s="1237" t="s">
        <v>75</v>
      </c>
      <c r="C45" s="1493">
        <v>8</v>
      </c>
      <c r="D45" s="1486">
        <v>50</v>
      </c>
      <c r="E45" s="1486">
        <v>74</v>
      </c>
      <c r="F45" s="1490">
        <f t="shared" si="0"/>
        <v>124</v>
      </c>
      <c r="G45" s="1521">
        <v>33</v>
      </c>
      <c r="H45" s="1521">
        <v>44</v>
      </c>
      <c r="I45" s="1487">
        <f t="shared" si="1"/>
        <v>77</v>
      </c>
      <c r="J45" s="1489">
        <v>5</v>
      </c>
      <c r="K45" s="1489">
        <v>3</v>
      </c>
      <c r="L45" s="1487">
        <f t="shared" si="2"/>
        <v>8</v>
      </c>
      <c r="M45" s="1493"/>
      <c r="N45" s="1493"/>
      <c r="O45" s="1494">
        <f t="shared" si="3"/>
        <v>0</v>
      </c>
    </row>
    <row r="46" spans="1:15" s="542" customFormat="1" ht="21.75" customHeight="1">
      <c r="A46" s="1234" t="s">
        <v>76</v>
      </c>
      <c r="B46" s="1238" t="s">
        <v>77</v>
      </c>
      <c r="C46" s="1493">
        <v>2</v>
      </c>
      <c r="D46" s="1486">
        <v>5</v>
      </c>
      <c r="E46" s="1486">
        <v>9</v>
      </c>
      <c r="F46" s="1490">
        <f t="shared" si="0"/>
        <v>14</v>
      </c>
      <c r="G46" s="1521">
        <v>4</v>
      </c>
      <c r="H46" s="1521">
        <v>7</v>
      </c>
      <c r="I46" s="1487">
        <f t="shared" si="1"/>
        <v>11</v>
      </c>
      <c r="J46" s="1489">
        <v>1</v>
      </c>
      <c r="K46" s="1489"/>
      <c r="L46" s="1487">
        <f t="shared" si="2"/>
        <v>1</v>
      </c>
      <c r="M46" s="1493"/>
      <c r="N46" s="1493"/>
      <c r="O46" s="1494">
        <f t="shared" si="3"/>
        <v>0</v>
      </c>
    </row>
    <row r="47" spans="1:15" s="542" customFormat="1" ht="13.8">
      <c r="A47" s="1234" t="s">
        <v>78</v>
      </c>
      <c r="B47" s="1235" t="s">
        <v>79</v>
      </c>
      <c r="C47" s="1493">
        <v>60</v>
      </c>
      <c r="D47" s="1486">
        <v>236</v>
      </c>
      <c r="E47" s="1486">
        <v>1182</v>
      </c>
      <c r="F47" s="1490">
        <f t="shared" si="0"/>
        <v>1418</v>
      </c>
      <c r="G47" s="1521">
        <v>74</v>
      </c>
      <c r="H47" s="1521">
        <v>346</v>
      </c>
      <c r="I47" s="1487">
        <f t="shared" si="1"/>
        <v>420</v>
      </c>
      <c r="J47" s="1489">
        <v>10</v>
      </c>
      <c r="K47" s="1489">
        <v>43</v>
      </c>
      <c r="L47" s="1487">
        <f t="shared" si="2"/>
        <v>53</v>
      </c>
      <c r="M47" s="1493">
        <v>1</v>
      </c>
      <c r="N47" s="1493">
        <v>2</v>
      </c>
      <c r="O47" s="1494">
        <f t="shared" si="3"/>
        <v>3</v>
      </c>
    </row>
    <row r="48" spans="1:15" s="542" customFormat="1" ht="13.8">
      <c r="A48" s="1234" t="s">
        <v>80</v>
      </c>
      <c r="B48" s="1235" t="s">
        <v>81</v>
      </c>
      <c r="C48" s="1493">
        <v>29</v>
      </c>
      <c r="D48" s="1486">
        <v>136</v>
      </c>
      <c r="E48" s="1486">
        <v>651</v>
      </c>
      <c r="F48" s="1490">
        <f t="shared" si="0"/>
        <v>787</v>
      </c>
      <c r="G48" s="1521">
        <v>71</v>
      </c>
      <c r="H48" s="1521">
        <v>259</v>
      </c>
      <c r="I48" s="1487">
        <f t="shared" si="1"/>
        <v>330</v>
      </c>
      <c r="J48" s="1489">
        <v>1</v>
      </c>
      <c r="K48" s="1489">
        <v>27</v>
      </c>
      <c r="L48" s="1487">
        <f t="shared" si="2"/>
        <v>28</v>
      </c>
      <c r="M48" s="1493"/>
      <c r="N48" s="1493"/>
      <c r="O48" s="1494">
        <f t="shared" si="3"/>
        <v>0</v>
      </c>
    </row>
    <row r="49" spans="1:15" s="542" customFormat="1" ht="13.8">
      <c r="A49" s="1234" t="s">
        <v>82</v>
      </c>
      <c r="B49" s="1235" t="s">
        <v>745</v>
      </c>
      <c r="C49" s="1493">
        <v>23</v>
      </c>
      <c r="D49" s="1486">
        <v>202</v>
      </c>
      <c r="E49" s="1486">
        <v>395</v>
      </c>
      <c r="F49" s="1490">
        <f t="shared" si="0"/>
        <v>597</v>
      </c>
      <c r="G49" s="1521">
        <v>71</v>
      </c>
      <c r="H49" s="1521">
        <v>135</v>
      </c>
      <c r="I49" s="1487">
        <f t="shared" si="1"/>
        <v>206</v>
      </c>
      <c r="J49" s="1489">
        <v>6</v>
      </c>
      <c r="K49" s="1489">
        <v>14</v>
      </c>
      <c r="L49" s="1487">
        <f t="shared" si="2"/>
        <v>20</v>
      </c>
      <c r="M49" s="1493">
        <v>0</v>
      </c>
      <c r="N49" s="1493">
        <v>1</v>
      </c>
      <c r="O49" s="1494">
        <f t="shared" si="3"/>
        <v>1</v>
      </c>
    </row>
    <row r="50" spans="1:15" s="542" customFormat="1" ht="13.8">
      <c r="A50" s="1234" t="s">
        <v>84</v>
      </c>
      <c r="B50" s="1235" t="s">
        <v>355</v>
      </c>
      <c r="C50" s="1493">
        <v>20</v>
      </c>
      <c r="D50" s="1486">
        <v>73</v>
      </c>
      <c r="E50" s="1486">
        <v>395</v>
      </c>
      <c r="F50" s="1490">
        <f t="shared" si="0"/>
        <v>468</v>
      </c>
      <c r="G50" s="1521">
        <v>39</v>
      </c>
      <c r="H50" s="1521">
        <v>168</v>
      </c>
      <c r="I50" s="1487">
        <f t="shared" si="1"/>
        <v>207</v>
      </c>
      <c r="J50" s="1489">
        <v>2</v>
      </c>
      <c r="K50" s="1489">
        <v>16</v>
      </c>
      <c r="L50" s="1487">
        <f t="shared" si="2"/>
        <v>18</v>
      </c>
      <c r="M50" s="1493">
        <v>2</v>
      </c>
      <c r="N50" s="1493">
        <v>0</v>
      </c>
      <c r="O50" s="1494">
        <f t="shared" si="3"/>
        <v>2</v>
      </c>
    </row>
    <row r="51" spans="1:15" s="542" customFormat="1" ht="13.8">
      <c r="A51" s="1234" t="s">
        <v>85</v>
      </c>
      <c r="B51" s="1235" t="s">
        <v>86</v>
      </c>
      <c r="C51" s="1493">
        <v>20</v>
      </c>
      <c r="D51" s="1486">
        <v>298</v>
      </c>
      <c r="E51" s="1486">
        <v>283</v>
      </c>
      <c r="F51" s="1490">
        <f t="shared" si="0"/>
        <v>581</v>
      </c>
      <c r="G51" s="1521">
        <v>185</v>
      </c>
      <c r="H51" s="1521">
        <v>167</v>
      </c>
      <c r="I51" s="1487">
        <f t="shared" si="1"/>
        <v>352</v>
      </c>
      <c r="J51" s="1489">
        <v>6</v>
      </c>
      <c r="K51" s="1489">
        <v>13</v>
      </c>
      <c r="L51" s="1487">
        <f t="shared" si="2"/>
        <v>19</v>
      </c>
      <c r="M51" s="1493"/>
      <c r="N51" s="1493"/>
      <c r="O51" s="1494">
        <f t="shared" si="3"/>
        <v>0</v>
      </c>
    </row>
    <row r="52" spans="1:15" s="542" customFormat="1" ht="13.8">
      <c r="A52" s="1234" t="s">
        <v>87</v>
      </c>
      <c r="B52" s="1235" t="s">
        <v>88</v>
      </c>
      <c r="C52" s="1493">
        <v>16</v>
      </c>
      <c r="D52" s="1486">
        <v>268</v>
      </c>
      <c r="E52" s="1486">
        <v>212</v>
      </c>
      <c r="F52" s="1490">
        <f t="shared" si="0"/>
        <v>480</v>
      </c>
      <c r="G52" s="1521">
        <v>166</v>
      </c>
      <c r="H52" s="1521">
        <v>130</v>
      </c>
      <c r="I52" s="1487">
        <f t="shared" si="1"/>
        <v>296</v>
      </c>
      <c r="J52" s="1489">
        <v>9</v>
      </c>
      <c r="K52" s="1489">
        <v>7</v>
      </c>
      <c r="L52" s="1487">
        <f t="shared" si="2"/>
        <v>16</v>
      </c>
      <c r="M52" s="1493"/>
      <c r="N52" s="1493"/>
      <c r="O52" s="1494">
        <f t="shared" si="3"/>
        <v>0</v>
      </c>
    </row>
    <row r="53" spans="1:15" s="542" customFormat="1" ht="13.8">
      <c r="A53" s="1234" t="s">
        <v>89</v>
      </c>
      <c r="B53" s="1235" t="s">
        <v>90</v>
      </c>
      <c r="C53" s="1493">
        <v>16</v>
      </c>
      <c r="D53" s="1486">
        <v>223</v>
      </c>
      <c r="E53" s="1486">
        <v>191</v>
      </c>
      <c r="F53" s="1490">
        <f t="shared" si="0"/>
        <v>414</v>
      </c>
      <c r="G53" s="1521">
        <v>135</v>
      </c>
      <c r="H53" s="1521">
        <v>101</v>
      </c>
      <c r="I53" s="1487">
        <f t="shared" si="1"/>
        <v>236</v>
      </c>
      <c r="J53" s="1489">
        <v>11</v>
      </c>
      <c r="K53" s="1489">
        <v>5</v>
      </c>
      <c r="L53" s="1487">
        <f t="shared" si="2"/>
        <v>16</v>
      </c>
      <c r="M53" s="1493"/>
      <c r="N53" s="1493"/>
      <c r="O53" s="1494">
        <f t="shared" si="3"/>
        <v>0</v>
      </c>
    </row>
    <row r="54" spans="1:15" s="542" customFormat="1" ht="13.8">
      <c r="A54" s="1234" t="s">
        <v>91</v>
      </c>
      <c r="B54" s="1235" t="s">
        <v>92</v>
      </c>
      <c r="C54" s="1493">
        <v>17</v>
      </c>
      <c r="D54" s="1486">
        <v>167</v>
      </c>
      <c r="E54" s="1486">
        <v>168</v>
      </c>
      <c r="F54" s="1490">
        <f t="shared" si="0"/>
        <v>335</v>
      </c>
      <c r="G54" s="1521">
        <v>121</v>
      </c>
      <c r="H54" s="1521">
        <v>111</v>
      </c>
      <c r="I54" s="1487">
        <f t="shared" si="1"/>
        <v>232</v>
      </c>
      <c r="J54" s="1489">
        <v>7</v>
      </c>
      <c r="K54" s="1489">
        <v>10</v>
      </c>
      <c r="L54" s="1487">
        <f t="shared" si="2"/>
        <v>17</v>
      </c>
      <c r="M54" s="1493"/>
      <c r="N54" s="1493"/>
      <c r="O54" s="1494">
        <f t="shared" si="3"/>
        <v>0</v>
      </c>
    </row>
    <row r="55" spans="1:15" s="542" customFormat="1" ht="13.8">
      <c r="A55" s="1234" t="s">
        <v>93</v>
      </c>
      <c r="B55" s="1235" t="s">
        <v>94</v>
      </c>
      <c r="C55" s="1493">
        <v>7</v>
      </c>
      <c r="D55" s="1486">
        <v>74</v>
      </c>
      <c r="E55" s="1486">
        <v>74</v>
      </c>
      <c r="F55" s="1490">
        <f t="shared" si="0"/>
        <v>148</v>
      </c>
      <c r="G55" s="1521">
        <v>66</v>
      </c>
      <c r="H55" s="1521">
        <v>66</v>
      </c>
      <c r="I55" s="1487">
        <f t="shared" si="1"/>
        <v>132</v>
      </c>
      <c r="J55" s="1489">
        <v>4</v>
      </c>
      <c r="K55" s="1489">
        <v>3</v>
      </c>
      <c r="L55" s="1487">
        <f t="shared" si="2"/>
        <v>7</v>
      </c>
      <c r="M55" s="1493"/>
      <c r="N55" s="1493"/>
      <c r="O55" s="1494">
        <f t="shared" si="3"/>
        <v>0</v>
      </c>
    </row>
    <row r="56" spans="1:15" s="542" customFormat="1" ht="13.8">
      <c r="A56" s="1234" t="s">
        <v>95</v>
      </c>
      <c r="B56" s="1235" t="s">
        <v>96</v>
      </c>
      <c r="C56" s="1493">
        <v>4</v>
      </c>
      <c r="D56" s="1486">
        <v>33</v>
      </c>
      <c r="E56" s="1486">
        <v>19</v>
      </c>
      <c r="F56" s="1490">
        <f t="shared" si="0"/>
        <v>52</v>
      </c>
      <c r="G56" s="1521">
        <v>29</v>
      </c>
      <c r="H56" s="1521">
        <v>17</v>
      </c>
      <c r="I56" s="1487">
        <f t="shared" si="1"/>
        <v>46</v>
      </c>
      <c r="J56" s="1489">
        <v>3</v>
      </c>
      <c r="K56" s="1489">
        <v>1</v>
      </c>
      <c r="L56" s="1487">
        <f t="shared" si="2"/>
        <v>4</v>
      </c>
      <c r="M56" s="1493"/>
      <c r="N56" s="1493"/>
      <c r="O56" s="1494">
        <f t="shared" si="3"/>
        <v>0</v>
      </c>
    </row>
    <row r="57" spans="1:15" s="542" customFormat="1" ht="13.8">
      <c r="A57" s="1234" t="s">
        <v>97</v>
      </c>
      <c r="B57" s="1235" t="s">
        <v>98</v>
      </c>
      <c r="C57" s="1493">
        <v>39</v>
      </c>
      <c r="D57" s="1486">
        <v>726</v>
      </c>
      <c r="E57" s="1486">
        <v>630</v>
      </c>
      <c r="F57" s="1490">
        <f t="shared" si="0"/>
        <v>1356</v>
      </c>
      <c r="G57" s="1521">
        <v>262</v>
      </c>
      <c r="H57" s="1521">
        <v>205</v>
      </c>
      <c r="I57" s="1487">
        <f t="shared" si="1"/>
        <v>467</v>
      </c>
      <c r="J57" s="1489">
        <v>21</v>
      </c>
      <c r="K57" s="1489">
        <v>15</v>
      </c>
      <c r="L57" s="1487">
        <f t="shared" si="2"/>
        <v>36</v>
      </c>
      <c r="M57" s="1493">
        <v>1</v>
      </c>
      <c r="N57" s="1493">
        <v>1</v>
      </c>
      <c r="O57" s="1494">
        <f t="shared" si="3"/>
        <v>2</v>
      </c>
    </row>
    <row r="58" spans="1:15" s="542" customFormat="1" ht="13.8">
      <c r="A58" s="1234" t="s">
        <v>99</v>
      </c>
      <c r="B58" s="1235" t="s">
        <v>100</v>
      </c>
      <c r="C58" s="1493">
        <v>32</v>
      </c>
      <c r="D58" s="1486">
        <v>652</v>
      </c>
      <c r="E58" s="1486">
        <v>495</v>
      </c>
      <c r="F58" s="1490">
        <f t="shared" si="0"/>
        <v>1147</v>
      </c>
      <c r="G58" s="1521">
        <v>161</v>
      </c>
      <c r="H58" s="1521">
        <v>127</v>
      </c>
      <c r="I58" s="1487">
        <f t="shared" si="1"/>
        <v>288</v>
      </c>
      <c r="J58" s="1489">
        <v>11</v>
      </c>
      <c r="K58" s="1489">
        <v>18</v>
      </c>
      <c r="L58" s="1487">
        <f t="shared" si="2"/>
        <v>29</v>
      </c>
      <c r="M58" s="1493">
        <v>1</v>
      </c>
      <c r="N58" s="1493">
        <v>1</v>
      </c>
      <c r="O58" s="1494">
        <f t="shared" si="3"/>
        <v>2</v>
      </c>
    </row>
    <row r="59" spans="1:15" s="542" customFormat="1" ht="13.8">
      <c r="A59" s="1234">
        <v>72</v>
      </c>
      <c r="B59" s="1235" t="s">
        <v>117</v>
      </c>
      <c r="C59" s="1493">
        <v>1</v>
      </c>
      <c r="D59" s="1486">
        <v>17</v>
      </c>
      <c r="E59" s="1486">
        <v>37</v>
      </c>
      <c r="F59" s="1490">
        <f t="shared" si="0"/>
        <v>54</v>
      </c>
      <c r="G59" s="1521">
        <v>17</v>
      </c>
      <c r="H59" s="1521">
        <v>37</v>
      </c>
      <c r="I59" s="1487">
        <f t="shared" si="1"/>
        <v>54</v>
      </c>
      <c r="J59" s="1489"/>
      <c r="K59" s="1489">
        <v>1</v>
      </c>
      <c r="L59" s="1487">
        <f t="shared" si="2"/>
        <v>1</v>
      </c>
      <c r="M59" s="1493"/>
      <c r="N59" s="1493"/>
      <c r="O59" s="1494">
        <f t="shared" si="3"/>
        <v>0</v>
      </c>
    </row>
    <row r="60" spans="1:15" s="542" customFormat="1" ht="13.8">
      <c r="A60" s="1234" t="s">
        <v>101</v>
      </c>
      <c r="B60" s="1235" t="s">
        <v>102</v>
      </c>
      <c r="C60" s="1493">
        <v>1</v>
      </c>
      <c r="D60" s="1486"/>
      <c r="E60" s="1486">
        <v>8</v>
      </c>
      <c r="F60" s="1490">
        <f t="shared" si="0"/>
        <v>8</v>
      </c>
      <c r="G60" s="1521"/>
      <c r="H60" s="1521">
        <v>8</v>
      </c>
      <c r="I60" s="1487">
        <f t="shared" si="1"/>
        <v>8</v>
      </c>
      <c r="J60" s="1489"/>
      <c r="K60" s="1489">
        <v>1</v>
      </c>
      <c r="L60" s="1487">
        <f t="shared" si="2"/>
        <v>1</v>
      </c>
      <c r="M60" s="1493"/>
      <c r="N60" s="1493"/>
      <c r="O60" s="1494">
        <f t="shared" si="3"/>
        <v>0</v>
      </c>
    </row>
    <row r="61" spans="1:15" s="542" customFormat="1" ht="13.8">
      <c r="A61" s="1234" t="s">
        <v>103</v>
      </c>
      <c r="B61" s="1235" t="s">
        <v>104</v>
      </c>
      <c r="C61" s="1493">
        <v>34</v>
      </c>
      <c r="D61" s="1486">
        <v>210</v>
      </c>
      <c r="E61" s="1486">
        <v>499</v>
      </c>
      <c r="F61" s="1490">
        <f t="shared" si="0"/>
        <v>709</v>
      </c>
      <c r="G61" s="1521">
        <v>92</v>
      </c>
      <c r="H61" s="1521">
        <v>177</v>
      </c>
      <c r="I61" s="1487">
        <f t="shared" si="1"/>
        <v>269</v>
      </c>
      <c r="J61" s="1489">
        <v>11</v>
      </c>
      <c r="K61" s="1489">
        <v>19</v>
      </c>
      <c r="L61" s="1487">
        <f t="shared" si="2"/>
        <v>30</v>
      </c>
      <c r="M61" s="1493">
        <v>2</v>
      </c>
      <c r="N61" s="1493">
        <v>3</v>
      </c>
      <c r="O61" s="1494">
        <f t="shared" si="3"/>
        <v>5</v>
      </c>
    </row>
    <row r="62" spans="1:15" s="542" customFormat="1" ht="13.8">
      <c r="A62" s="1234">
        <v>76</v>
      </c>
      <c r="B62" s="1235" t="s">
        <v>200</v>
      </c>
      <c r="C62" s="1493">
        <v>2</v>
      </c>
      <c r="D62" s="1486">
        <v>1</v>
      </c>
      <c r="E62" s="1486">
        <v>14</v>
      </c>
      <c r="F62" s="1490">
        <f t="shared" si="0"/>
        <v>15</v>
      </c>
      <c r="G62" s="1521">
        <v>1</v>
      </c>
      <c r="H62" s="1521">
        <v>12</v>
      </c>
      <c r="I62" s="1487">
        <f t="shared" si="1"/>
        <v>13</v>
      </c>
      <c r="J62" s="1489"/>
      <c r="K62" s="1489">
        <v>2</v>
      </c>
      <c r="L62" s="1487">
        <f t="shared" si="2"/>
        <v>2</v>
      </c>
      <c r="M62" s="1493"/>
      <c r="N62" s="1493"/>
      <c r="O62" s="1494">
        <f t="shared" si="3"/>
        <v>0</v>
      </c>
    </row>
    <row r="63" spans="1:15" s="542" customFormat="1" ht="13.8">
      <c r="A63" s="1234" t="s">
        <v>517</v>
      </c>
      <c r="B63" s="1235" t="s">
        <v>518</v>
      </c>
      <c r="C63" s="1493">
        <v>9</v>
      </c>
      <c r="D63" s="1486">
        <v>64</v>
      </c>
      <c r="E63" s="1486">
        <v>63</v>
      </c>
      <c r="F63" s="1490">
        <f t="shared" si="0"/>
        <v>127</v>
      </c>
      <c r="G63" s="1521">
        <v>41</v>
      </c>
      <c r="H63" s="1521">
        <v>46</v>
      </c>
      <c r="I63" s="1487">
        <f t="shared" si="1"/>
        <v>87</v>
      </c>
      <c r="J63" s="1489">
        <v>5</v>
      </c>
      <c r="K63" s="1489">
        <v>4</v>
      </c>
      <c r="L63" s="1487">
        <f t="shared" si="2"/>
        <v>9</v>
      </c>
      <c r="M63" s="1493">
        <v>0</v>
      </c>
      <c r="N63" s="1493">
        <v>1</v>
      </c>
      <c r="O63" s="1494">
        <f t="shared" si="3"/>
        <v>1</v>
      </c>
    </row>
    <row r="64" spans="1:15" s="542" customFormat="1" ht="13.8">
      <c r="A64" s="1234" t="s">
        <v>519</v>
      </c>
      <c r="B64" s="1235" t="s">
        <v>520</v>
      </c>
      <c r="C64" s="1493">
        <v>23</v>
      </c>
      <c r="D64" s="1486">
        <v>212</v>
      </c>
      <c r="E64" s="1486">
        <v>308</v>
      </c>
      <c r="F64" s="1490">
        <f t="shared" si="0"/>
        <v>520</v>
      </c>
      <c r="G64" s="1521">
        <v>110</v>
      </c>
      <c r="H64" s="1521">
        <v>115</v>
      </c>
      <c r="I64" s="1487">
        <f t="shared" si="1"/>
        <v>225</v>
      </c>
      <c r="J64" s="1489">
        <v>11</v>
      </c>
      <c r="K64" s="1489">
        <v>9</v>
      </c>
      <c r="L64" s="1487">
        <f t="shared" si="2"/>
        <v>20</v>
      </c>
      <c r="M64" s="1493">
        <v>2</v>
      </c>
      <c r="N64" s="1493">
        <v>0</v>
      </c>
      <c r="O64" s="1494">
        <f t="shared" si="3"/>
        <v>2</v>
      </c>
    </row>
    <row r="65" spans="1:26" s="542" customFormat="1" ht="13.2">
      <c r="A65" s="1732" t="s">
        <v>521</v>
      </c>
      <c r="B65" s="1733" t="s">
        <v>522</v>
      </c>
      <c r="C65" s="1734">
        <v>9</v>
      </c>
      <c r="D65" s="1735">
        <v>58</v>
      </c>
      <c r="E65" s="1735">
        <v>42</v>
      </c>
      <c r="F65" s="1736">
        <f t="shared" si="0"/>
        <v>100</v>
      </c>
      <c r="G65" s="1735">
        <v>40</v>
      </c>
      <c r="H65" s="1735">
        <v>31</v>
      </c>
      <c r="I65" s="1737">
        <f t="shared" si="1"/>
        <v>71</v>
      </c>
      <c r="J65" s="1738">
        <v>4</v>
      </c>
      <c r="K65" s="1738">
        <v>4</v>
      </c>
      <c r="L65" s="1737">
        <f t="shared" si="2"/>
        <v>8</v>
      </c>
      <c r="M65" s="1734"/>
      <c r="N65" s="1734"/>
      <c r="O65" s="1739">
        <f t="shared" si="3"/>
        <v>0</v>
      </c>
      <c r="Z65" s="542">
        <f>37+552+8638</f>
        <v>9227</v>
      </c>
    </row>
    <row r="66" spans="1:26" s="542" customFormat="1" ht="13.8" thickBot="1">
      <c r="A66" s="1740" t="s">
        <v>155</v>
      </c>
      <c r="B66" s="1741" t="s">
        <v>105</v>
      </c>
      <c r="C66" s="1742">
        <f>SUM(C10:C65)</f>
        <v>1279</v>
      </c>
      <c r="D66" s="1743">
        <f>SUM(D10:D65)</f>
        <v>22692</v>
      </c>
      <c r="E66" s="1743">
        <f>SUM(E10:E65)</f>
        <v>27085</v>
      </c>
      <c r="F66" s="1743">
        <f t="shared" si="0"/>
        <v>49777</v>
      </c>
      <c r="G66" s="1743">
        <v>4262</v>
      </c>
      <c r="H66" s="1743">
        <v>4958</v>
      </c>
      <c r="I66" s="1743">
        <v>9220</v>
      </c>
      <c r="J66" s="1743">
        <f t="shared" ref="J66:O66" si="4">SUM(J10:J65)</f>
        <v>494</v>
      </c>
      <c r="K66" s="1743">
        <f t="shared" si="4"/>
        <v>638</v>
      </c>
      <c r="L66" s="1743">
        <f t="shared" si="4"/>
        <v>1132</v>
      </c>
      <c r="M66" s="1742">
        <f t="shared" si="4"/>
        <v>61</v>
      </c>
      <c r="N66" s="1742">
        <f t="shared" si="4"/>
        <v>56</v>
      </c>
      <c r="O66" s="1744">
        <f t="shared" si="4"/>
        <v>117</v>
      </c>
    </row>
    <row r="67" spans="1:26" s="542" customFormat="1" ht="13.2">
      <c r="A67" s="1239" t="str">
        <f>'fiche technique'!A14</f>
        <v>Source: GALAXIE (ANTEE), DGRH A1-1 &amp; DGRH A2, juin 2014</v>
      </c>
      <c r="B67" s="1240"/>
      <c r="C67" s="1241"/>
      <c r="D67" s="1242"/>
      <c r="E67" s="1242"/>
      <c r="F67" s="1242"/>
      <c r="G67" s="1481"/>
      <c r="H67" s="607"/>
      <c r="I67" s="607"/>
      <c r="W67" s="542">
        <f>588/1294</f>
        <v>0.45440494590417313</v>
      </c>
    </row>
    <row r="68" spans="1:26" s="542" customFormat="1" ht="13.2">
      <c r="A68" s="523"/>
      <c r="B68" s="523"/>
      <c r="C68" s="523"/>
      <c r="D68" s="523"/>
      <c r="E68" s="523"/>
      <c r="F68" s="1243"/>
      <c r="G68" s="1481"/>
      <c r="H68" s="607"/>
      <c r="I68" s="607"/>
      <c r="W68" s="542">
        <f>153/494</f>
        <v>0.30971659919028338</v>
      </c>
    </row>
    <row r="69" spans="1:26" ht="13.2">
      <c r="G69" s="607"/>
      <c r="H69" s="607"/>
      <c r="I69" s="542">
        <f>SUM(I10:I65)</f>
        <v>13570</v>
      </c>
      <c r="K69" s="542"/>
      <c r="M69" s="542"/>
      <c r="N69" s="542"/>
      <c r="Q69" s="542"/>
      <c r="R69" s="542"/>
    </row>
    <row r="70" spans="1:26" ht="13.2">
      <c r="A70" s="523" t="s">
        <v>747</v>
      </c>
      <c r="G70" s="607"/>
      <c r="H70" s="607"/>
      <c r="I70" s="542"/>
      <c r="R70" s="542"/>
    </row>
    <row r="71" spans="1:26" ht="13.2">
      <c r="A71" s="523" t="s">
        <v>748</v>
      </c>
      <c r="G71" s="607"/>
      <c r="H71" s="607"/>
      <c r="R71" s="542"/>
    </row>
    <row r="72" spans="1:26" ht="13.2">
      <c r="G72" s="607"/>
      <c r="H72" s="607"/>
      <c r="L72" s="568"/>
    </row>
    <row r="73" spans="1:26" ht="13.2">
      <c r="G73" s="607"/>
      <c r="H73" s="607"/>
    </row>
    <row r="74" spans="1:26" ht="13.2">
      <c r="G74" s="607"/>
      <c r="H74" s="607"/>
    </row>
    <row r="75" spans="1:26" ht="13.2">
      <c r="G75" s="607"/>
      <c r="H75" s="607"/>
    </row>
    <row r="76" spans="1:26" ht="13.2">
      <c r="G76" s="607"/>
      <c r="H76" s="607"/>
    </row>
    <row r="77" spans="1:26" ht="13.2">
      <c r="G77" s="607"/>
      <c r="H77" s="607"/>
    </row>
    <row r="78" spans="1:26" ht="13.2">
      <c r="G78" s="607"/>
      <c r="H78" s="607"/>
    </row>
    <row r="79" spans="1:26" ht="13.2">
      <c r="G79" s="607"/>
      <c r="H79" s="607"/>
    </row>
    <row r="80" spans="1:26" ht="13.2">
      <c r="G80" s="607"/>
      <c r="H80" s="607"/>
    </row>
    <row r="81" spans="7:8" ht="13.2">
      <c r="G81" s="607"/>
      <c r="H81" s="607"/>
    </row>
    <row r="82" spans="7:8">
      <c r="G82" s="542"/>
      <c r="H82" s="542"/>
    </row>
    <row r="83" spans="7:8">
      <c r="G83" s="542"/>
      <c r="H83" s="542"/>
    </row>
  </sheetData>
  <mergeCells count="8">
    <mergeCell ref="A5:O5"/>
    <mergeCell ref="A4:O4"/>
    <mergeCell ref="A2:O2"/>
    <mergeCell ref="D8:F8"/>
    <mergeCell ref="G8:I8"/>
    <mergeCell ref="J8:L8"/>
    <mergeCell ref="M8:O8"/>
    <mergeCell ref="A7:O7"/>
  </mergeCells>
  <printOptions horizontalCentered="1"/>
  <pageMargins left="0" right="0" top="0.39370078740157483" bottom="0.39370078740157483" header="0.31496062992125984" footer="0.31496062992125984"/>
  <pageSetup paperSize="9" scale="63" orientation="portrait" r:id="rId1"/>
  <headerFooter alignWithMargins="0">
    <oddHeader>&amp;LDGRH A1-1</oddHeader>
    <oddFooter>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Feuil5">
    <tabColor rgb="FFFFFF00"/>
  </sheetPr>
  <dimension ref="A1:II238"/>
  <sheetViews>
    <sheetView showZeros="0" topLeftCell="D1" zoomScale="80" zoomScaleNormal="80" workbookViewId="0">
      <pane ySplit="9" topLeftCell="A10" activePane="bottomLeft" state="frozen"/>
      <selection activeCell="L18" sqref="L18"/>
      <selection pane="bottomLeft" activeCell="L18" sqref="L18"/>
    </sheetView>
  </sheetViews>
  <sheetFormatPr baseColWidth="10" defaultColWidth="11.44140625" defaultRowHeight="13.5" customHeight="1"/>
  <cols>
    <col min="1" max="3" width="34.5546875" style="375" hidden="1" customWidth="1"/>
    <col min="4" max="4" width="28.88671875" style="375" customWidth="1"/>
    <col min="5" max="8" width="6.33203125" style="375" customWidth="1"/>
    <col min="9" max="16" width="6.33203125" style="376" customWidth="1"/>
    <col min="17" max="18" width="6.33203125" style="377" customWidth="1"/>
    <col min="19" max="26" width="6.33203125" style="376" customWidth="1"/>
    <col min="27" max="34" width="6.33203125" style="375" customWidth="1"/>
    <col min="35" max="35" width="22.109375" style="375" customWidth="1"/>
    <col min="36" max="38" width="14" style="375" customWidth="1"/>
    <col min="39" max="16384" width="11.44140625" style="375"/>
  </cols>
  <sheetData>
    <row r="1" spans="1:39" ht="19.5" customHeight="1">
      <c r="D1" s="1929" t="str">
        <f>'fiche technique'!A16</f>
        <v xml:space="preserve">Bilan de la campagne 2014 de recrutement et d'affectation des maîtres de conférences et des professeurs des universités </v>
      </c>
      <c r="E1" s="851"/>
      <c r="F1" s="852"/>
      <c r="G1" s="852"/>
      <c r="H1" s="852"/>
      <c r="I1" s="852"/>
      <c r="J1" s="853"/>
      <c r="K1" s="853"/>
      <c r="L1" s="853"/>
      <c r="M1" s="853"/>
      <c r="N1" s="853"/>
      <c r="O1" s="853"/>
      <c r="P1" s="853"/>
      <c r="Q1" s="854"/>
      <c r="R1" s="854"/>
      <c r="S1" s="853"/>
      <c r="T1" s="853"/>
      <c r="U1" s="853"/>
      <c r="V1" s="853"/>
      <c r="W1" s="853"/>
      <c r="X1" s="853"/>
      <c r="Y1" s="853"/>
      <c r="Z1" s="853"/>
      <c r="AA1" s="853"/>
      <c r="AB1" s="853"/>
      <c r="AC1" s="853"/>
      <c r="AD1" s="853"/>
      <c r="AE1" s="855"/>
      <c r="AF1" s="855"/>
      <c r="AG1" s="855"/>
      <c r="AH1" s="855"/>
    </row>
    <row r="2" spans="1:39" ht="15" customHeight="1"/>
    <row r="3" spans="1:39" ht="15" customHeight="1">
      <c r="D3" s="2036" t="s">
        <v>537</v>
      </c>
      <c r="E3" s="2036"/>
      <c r="F3" s="2036"/>
      <c r="G3" s="2036"/>
      <c r="H3" s="2036"/>
      <c r="I3" s="2036"/>
      <c r="J3" s="2036"/>
      <c r="K3" s="2036"/>
      <c r="L3" s="2036"/>
      <c r="M3" s="2036"/>
      <c r="N3" s="2036"/>
      <c r="O3" s="2036"/>
      <c r="P3" s="2036"/>
      <c r="Q3" s="2036"/>
      <c r="R3" s="2036"/>
      <c r="S3" s="2036"/>
      <c r="T3" s="2036"/>
      <c r="U3" s="2036"/>
      <c r="V3" s="2036"/>
      <c r="W3" s="2036"/>
      <c r="X3" s="2036"/>
      <c r="Y3" s="2036"/>
      <c r="Z3" s="2036"/>
      <c r="AA3" s="2036"/>
      <c r="AB3" s="2036"/>
      <c r="AC3" s="2036"/>
      <c r="AD3" s="2036"/>
      <c r="AE3" s="2036"/>
      <c r="AF3" s="2036"/>
      <c r="AG3" s="2036"/>
      <c r="AH3" s="2036"/>
    </row>
    <row r="4" spans="1:39" ht="29.25" customHeight="1">
      <c r="D4" s="2039" t="s">
        <v>983</v>
      </c>
      <c r="E4" s="2039"/>
      <c r="F4" s="2039"/>
      <c r="G4" s="2039"/>
      <c r="H4" s="2039"/>
      <c r="I4" s="2039"/>
      <c r="J4" s="2039"/>
      <c r="K4" s="2039"/>
      <c r="L4" s="2039"/>
      <c r="M4" s="2039"/>
      <c r="N4" s="2039"/>
      <c r="O4" s="2039"/>
      <c r="P4" s="2039"/>
      <c r="Q4" s="2039"/>
      <c r="R4" s="2039"/>
      <c r="S4" s="2039"/>
      <c r="T4" s="2039"/>
      <c r="U4" s="2039"/>
      <c r="V4" s="2039"/>
      <c r="W4" s="2039"/>
      <c r="X4" s="2039"/>
      <c r="Y4" s="2039"/>
      <c r="Z4" s="2039"/>
      <c r="AA4" s="2039"/>
      <c r="AB4" s="2039"/>
      <c r="AC4" s="2039"/>
      <c r="AD4" s="2039"/>
      <c r="AE4" s="2039"/>
      <c r="AF4" s="2039"/>
      <c r="AG4" s="2039"/>
      <c r="AH4" s="2039"/>
    </row>
    <row r="5" spans="1:39" ht="15" customHeight="1">
      <c r="A5" s="375" t="s">
        <v>576</v>
      </c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  <c r="S5" s="856"/>
      <c r="T5" s="856"/>
      <c r="U5" s="856"/>
      <c r="V5" s="856"/>
      <c r="W5" s="856"/>
      <c r="X5" s="856"/>
      <c r="Y5" s="856"/>
      <c r="Z5" s="856"/>
      <c r="AA5" s="856"/>
      <c r="AB5" s="856"/>
      <c r="AC5" s="856"/>
      <c r="AD5" s="856"/>
      <c r="AE5" s="856"/>
      <c r="AF5" s="856"/>
      <c r="AG5" s="856"/>
      <c r="AH5" s="856"/>
    </row>
    <row r="6" spans="1:39" ht="15.75" customHeight="1" thickBot="1"/>
    <row r="7" spans="1:39" ht="13.5" customHeight="1" thickBot="1">
      <c r="D7" s="386"/>
      <c r="E7" s="2040" t="s">
        <v>193</v>
      </c>
      <c r="F7" s="2041"/>
      <c r="G7" s="2041"/>
      <c r="H7" s="2041"/>
      <c r="I7" s="2041"/>
      <c r="J7" s="2042"/>
      <c r="K7" s="2043" t="s">
        <v>194</v>
      </c>
      <c r="L7" s="2041"/>
      <c r="M7" s="2041"/>
      <c r="N7" s="2041"/>
      <c r="O7" s="2041"/>
      <c r="P7" s="2042"/>
      <c r="Q7" s="2043" t="s">
        <v>196</v>
      </c>
      <c r="R7" s="2041"/>
      <c r="S7" s="2041"/>
      <c r="T7" s="2041"/>
      <c r="U7" s="2041"/>
      <c r="V7" s="2042"/>
      <c r="W7" s="2043" t="s">
        <v>150</v>
      </c>
      <c r="X7" s="2041"/>
      <c r="Y7" s="2041"/>
      <c r="Z7" s="2041"/>
      <c r="AA7" s="2041"/>
      <c r="AB7" s="2042"/>
      <c r="AC7" s="2031" t="s">
        <v>382</v>
      </c>
      <c r="AD7" s="2031"/>
      <c r="AE7" s="2031"/>
      <c r="AF7" s="2031"/>
      <c r="AG7" s="2031"/>
      <c r="AH7" s="2032"/>
    </row>
    <row r="8" spans="1:39" ht="13.5" customHeight="1">
      <c r="D8" s="408" t="s">
        <v>383</v>
      </c>
      <c r="E8" s="1860" t="s">
        <v>266</v>
      </c>
      <c r="F8" s="1861"/>
      <c r="G8" s="1860" t="s">
        <v>265</v>
      </c>
      <c r="H8" s="1861"/>
      <c r="I8" s="1860" t="s">
        <v>384</v>
      </c>
      <c r="J8" s="1861"/>
      <c r="K8" s="1860" t="s">
        <v>266</v>
      </c>
      <c r="L8" s="1861"/>
      <c r="M8" s="1860" t="s">
        <v>265</v>
      </c>
      <c r="N8" s="1861"/>
      <c r="O8" s="2037" t="s">
        <v>384</v>
      </c>
      <c r="P8" s="2038"/>
      <c r="Q8" s="2037" t="s">
        <v>266</v>
      </c>
      <c r="R8" s="2038"/>
      <c r="S8" s="2037" t="s">
        <v>265</v>
      </c>
      <c r="T8" s="2038"/>
      <c r="U8" s="2037" t="s">
        <v>384</v>
      </c>
      <c r="V8" s="2038"/>
      <c r="W8" s="2037" t="s">
        <v>266</v>
      </c>
      <c r="X8" s="2038"/>
      <c r="Y8" s="2037" t="s">
        <v>265</v>
      </c>
      <c r="Z8" s="2038"/>
      <c r="AA8" s="2037" t="s">
        <v>384</v>
      </c>
      <c r="AB8" s="2038"/>
      <c r="AC8" s="2033" t="s">
        <v>266</v>
      </c>
      <c r="AD8" s="2034"/>
      <c r="AE8" s="2033" t="s">
        <v>265</v>
      </c>
      <c r="AF8" s="2034"/>
      <c r="AG8" s="2033" t="s">
        <v>384</v>
      </c>
      <c r="AH8" s="2035"/>
      <c r="AI8" s="378"/>
      <c r="AJ8" s="378"/>
      <c r="AK8" s="378"/>
      <c r="AL8" s="378"/>
    </row>
    <row r="9" spans="1:39" ht="13.5" customHeight="1">
      <c r="D9" s="396"/>
      <c r="E9" s="387" t="s">
        <v>385</v>
      </c>
      <c r="F9" s="387" t="s">
        <v>386</v>
      </c>
      <c r="G9" s="387" t="s">
        <v>385</v>
      </c>
      <c r="H9" s="387" t="s">
        <v>386</v>
      </c>
      <c r="I9" s="387" t="s">
        <v>385</v>
      </c>
      <c r="J9" s="387" t="s">
        <v>386</v>
      </c>
      <c r="K9" s="387" t="s">
        <v>385</v>
      </c>
      <c r="L9" s="387" t="s">
        <v>386</v>
      </c>
      <c r="M9" s="387" t="s">
        <v>385</v>
      </c>
      <c r="N9" s="387" t="s">
        <v>386</v>
      </c>
      <c r="O9" s="387" t="s">
        <v>385</v>
      </c>
      <c r="P9" s="387" t="s">
        <v>386</v>
      </c>
      <c r="Q9" s="387" t="s">
        <v>385</v>
      </c>
      <c r="R9" s="387" t="s">
        <v>386</v>
      </c>
      <c r="S9" s="387" t="s">
        <v>385</v>
      </c>
      <c r="T9" s="387" t="s">
        <v>386</v>
      </c>
      <c r="U9" s="387" t="s">
        <v>385</v>
      </c>
      <c r="V9" s="387" t="s">
        <v>386</v>
      </c>
      <c r="W9" s="387" t="s">
        <v>385</v>
      </c>
      <c r="X9" s="387" t="s">
        <v>386</v>
      </c>
      <c r="Y9" s="387" t="s">
        <v>385</v>
      </c>
      <c r="Z9" s="387" t="s">
        <v>386</v>
      </c>
      <c r="AA9" s="387" t="s">
        <v>385</v>
      </c>
      <c r="AB9" s="387" t="s">
        <v>386</v>
      </c>
      <c r="AC9" s="864" t="s">
        <v>385</v>
      </c>
      <c r="AD9" s="864" t="s">
        <v>386</v>
      </c>
      <c r="AE9" s="864" t="s">
        <v>385</v>
      </c>
      <c r="AF9" s="864" t="s">
        <v>386</v>
      </c>
      <c r="AG9" s="864" t="s">
        <v>385</v>
      </c>
      <c r="AH9" s="865" t="s">
        <v>386</v>
      </c>
      <c r="AI9" s="378"/>
      <c r="AJ9" s="378"/>
      <c r="AK9" s="378"/>
      <c r="AL9" s="378"/>
    </row>
    <row r="10" spans="1:39" ht="13.5" customHeight="1">
      <c r="A10" s="375" t="s">
        <v>584</v>
      </c>
      <c r="B10" s="375" t="str">
        <f t="shared" ref="B10:B72" si="0">MID(A10,6,20)</f>
        <v>AVIGNON</v>
      </c>
      <c r="C10" s="375" t="str">
        <f t="shared" ref="C10:C39" si="1">IF(B10=D10," ","ach")</f>
        <v>ach</v>
      </c>
      <c r="D10" s="397" t="s">
        <v>711</v>
      </c>
      <c r="E10" s="393">
        <v>11</v>
      </c>
      <c r="F10" s="393">
        <v>11</v>
      </c>
      <c r="G10" s="393">
        <v>11</v>
      </c>
      <c r="H10" s="393">
        <v>6</v>
      </c>
      <c r="I10" s="393">
        <v>23</v>
      </c>
      <c r="J10" s="393">
        <v>16</v>
      </c>
      <c r="K10" s="393">
        <v>24</v>
      </c>
      <c r="L10" s="393">
        <v>22</v>
      </c>
      <c r="M10" s="393">
        <v>23</v>
      </c>
      <c r="N10" s="393">
        <v>16</v>
      </c>
      <c r="O10" s="393">
        <v>47</v>
      </c>
      <c r="P10" s="393">
        <v>38</v>
      </c>
      <c r="Q10" s="393">
        <v>24</v>
      </c>
      <c r="R10" s="393">
        <v>24</v>
      </c>
      <c r="S10" s="393">
        <v>13</v>
      </c>
      <c r="T10" s="393">
        <v>13</v>
      </c>
      <c r="U10" s="393">
        <v>37</v>
      </c>
      <c r="V10" s="393">
        <v>35</v>
      </c>
      <c r="W10" s="393">
        <v>2</v>
      </c>
      <c r="X10" s="393">
        <v>2</v>
      </c>
      <c r="Y10" s="393">
        <v>1</v>
      </c>
      <c r="Z10" s="393"/>
      <c r="AA10" s="393">
        <f>W10+Y10</f>
        <v>3</v>
      </c>
      <c r="AB10" s="393">
        <f>X10+Z10</f>
        <v>2</v>
      </c>
      <c r="AC10" s="868">
        <f>E10+K10+Q10+W10</f>
        <v>61</v>
      </c>
      <c r="AD10" s="868">
        <f t="shared" ref="AC10:AF66" si="2">F10+L10+R10+X10</f>
        <v>59</v>
      </c>
      <c r="AE10" s="868">
        <f t="shared" si="2"/>
        <v>48</v>
      </c>
      <c r="AF10" s="868">
        <f t="shared" si="2"/>
        <v>35</v>
      </c>
      <c r="AG10" s="868">
        <f t="shared" ref="AG10:AH66" si="3">AC10+AE10</f>
        <v>109</v>
      </c>
      <c r="AH10" s="869">
        <f t="shared" si="3"/>
        <v>94</v>
      </c>
      <c r="AI10" s="1194"/>
      <c r="AJ10" s="378"/>
      <c r="AK10" s="378"/>
      <c r="AL10" s="378"/>
      <c r="AM10" s="378"/>
    </row>
    <row r="11" spans="1:39" ht="13.5" customHeight="1">
      <c r="D11" s="397" t="s">
        <v>387</v>
      </c>
      <c r="E11" s="393"/>
      <c r="F11" s="393"/>
      <c r="G11" s="393"/>
      <c r="H11" s="393"/>
      <c r="I11" s="393"/>
      <c r="J11" s="393">
        <v>0</v>
      </c>
      <c r="K11" s="393">
        <v>5</v>
      </c>
      <c r="L11" s="393">
        <v>5</v>
      </c>
      <c r="M11" s="393">
        <v>1</v>
      </c>
      <c r="N11" s="393"/>
      <c r="O11" s="393">
        <v>6</v>
      </c>
      <c r="P11" s="393">
        <v>5</v>
      </c>
      <c r="Q11" s="393">
        <v>5</v>
      </c>
      <c r="R11" s="393">
        <v>5</v>
      </c>
      <c r="S11" s="393">
        <v>1</v>
      </c>
      <c r="T11" s="393">
        <v>1</v>
      </c>
      <c r="U11" s="393">
        <v>6</v>
      </c>
      <c r="V11" s="393">
        <v>6</v>
      </c>
      <c r="W11" s="393"/>
      <c r="X11" s="393"/>
      <c r="Y11" s="393"/>
      <c r="Z11" s="393"/>
      <c r="AA11" s="393"/>
      <c r="AB11" s="393">
        <v>0</v>
      </c>
      <c r="AC11" s="868">
        <f>E11+K11+Q11+W11</f>
        <v>10</v>
      </c>
      <c r="AD11" s="868">
        <f t="shared" si="2"/>
        <v>10</v>
      </c>
      <c r="AE11" s="868">
        <f t="shared" si="2"/>
        <v>2</v>
      </c>
      <c r="AF11" s="868">
        <f t="shared" si="2"/>
        <v>1</v>
      </c>
      <c r="AG11" s="868">
        <f>I11+O11+U11+AA11</f>
        <v>12</v>
      </c>
      <c r="AH11" s="869">
        <f>J11+P11+V11+AB11</f>
        <v>11</v>
      </c>
      <c r="AI11" s="1194"/>
      <c r="AJ11" s="378"/>
      <c r="AK11" s="378"/>
      <c r="AL11" s="378"/>
      <c r="AM11" s="378"/>
    </row>
    <row r="12" spans="1:39" ht="13.5" customHeight="1">
      <c r="A12" s="375" t="s">
        <v>585</v>
      </c>
      <c r="B12" s="375" t="str">
        <f t="shared" si="0"/>
        <v>AIX IEP</v>
      </c>
      <c r="C12" s="375" t="str">
        <f t="shared" si="1"/>
        <v xml:space="preserve"> </v>
      </c>
      <c r="D12" s="397" t="s">
        <v>561</v>
      </c>
      <c r="E12" s="393">
        <v>1</v>
      </c>
      <c r="F12" s="393">
        <v>1</v>
      </c>
      <c r="G12" s="393">
        <v>1</v>
      </c>
      <c r="H12" s="393">
        <v>1</v>
      </c>
      <c r="I12" s="393">
        <v>2</v>
      </c>
      <c r="J12" s="393">
        <v>2</v>
      </c>
      <c r="K12" s="393"/>
      <c r="L12" s="393"/>
      <c r="M12" s="393"/>
      <c r="N12" s="393"/>
      <c r="O12" s="393"/>
      <c r="P12" s="393">
        <v>0</v>
      </c>
      <c r="Q12" s="393"/>
      <c r="R12" s="393"/>
      <c r="S12" s="393"/>
      <c r="T12" s="393"/>
      <c r="U12" s="393"/>
      <c r="V12" s="393">
        <v>0</v>
      </c>
      <c r="W12" s="393"/>
      <c r="X12" s="393"/>
      <c r="Y12" s="393"/>
      <c r="Z12" s="393"/>
      <c r="AA12" s="393"/>
      <c r="AB12" s="393">
        <v>0</v>
      </c>
      <c r="AC12" s="868">
        <f>E12+K12+Q12+W12</f>
        <v>1</v>
      </c>
      <c r="AD12" s="868">
        <f>F12+L12+R12+X12</f>
        <v>1</v>
      </c>
      <c r="AE12" s="868">
        <f>G12+M12+S12+Y12</f>
        <v>1</v>
      </c>
      <c r="AF12" s="868">
        <f>H12+N12+T12+Z12</f>
        <v>1</v>
      </c>
      <c r="AG12" s="868">
        <f>AC12+AE12</f>
        <v>2</v>
      </c>
      <c r="AH12" s="869">
        <f>AD12+AF12</f>
        <v>2</v>
      </c>
      <c r="AI12" s="1194"/>
      <c r="AJ12" s="378"/>
      <c r="AK12" s="378"/>
      <c r="AL12" s="378"/>
      <c r="AM12" s="378"/>
    </row>
    <row r="13" spans="1:39" ht="13.5" customHeight="1">
      <c r="A13" s="375" t="s">
        <v>586</v>
      </c>
      <c r="B13" s="375" t="str">
        <f t="shared" si="0"/>
        <v>AIX-MARSEILLE E.C.</v>
      </c>
      <c r="C13" s="375" t="str">
        <f t="shared" si="1"/>
        <v>ach</v>
      </c>
      <c r="D13" s="398" t="s">
        <v>388</v>
      </c>
      <c r="E13" s="381"/>
      <c r="F13" s="381"/>
      <c r="G13" s="381">
        <v>1</v>
      </c>
      <c r="H13" s="381"/>
      <c r="I13" s="381">
        <v>1</v>
      </c>
      <c r="J13" s="381">
        <v>0</v>
      </c>
      <c r="K13" s="381"/>
      <c r="L13" s="381"/>
      <c r="M13" s="381"/>
      <c r="N13" s="381"/>
      <c r="O13" s="381"/>
      <c r="P13" s="381">
        <v>0</v>
      </c>
      <c r="Q13" s="381">
        <v>1</v>
      </c>
      <c r="R13" s="381">
        <v>1</v>
      </c>
      <c r="S13" s="381">
        <v>4</v>
      </c>
      <c r="T13" s="381">
        <v>4</v>
      </c>
      <c r="U13" s="381">
        <v>5</v>
      </c>
      <c r="V13" s="381">
        <v>5</v>
      </c>
      <c r="W13" s="381"/>
      <c r="X13" s="381"/>
      <c r="Y13" s="381"/>
      <c r="Z13" s="381"/>
      <c r="AA13" s="381"/>
      <c r="AB13" s="381">
        <v>0</v>
      </c>
      <c r="AC13" s="870">
        <f t="shared" si="2"/>
        <v>1</v>
      </c>
      <c r="AD13" s="870">
        <f t="shared" si="2"/>
        <v>1</v>
      </c>
      <c r="AE13" s="870">
        <f t="shared" si="2"/>
        <v>5</v>
      </c>
      <c r="AF13" s="870">
        <f t="shared" si="2"/>
        <v>4</v>
      </c>
      <c r="AG13" s="870">
        <f t="shared" si="3"/>
        <v>6</v>
      </c>
      <c r="AH13" s="871">
        <f t="shared" si="3"/>
        <v>5</v>
      </c>
      <c r="AI13" s="1194"/>
      <c r="AJ13" s="816"/>
      <c r="AK13" s="378"/>
      <c r="AL13" s="378"/>
      <c r="AM13" s="378"/>
    </row>
    <row r="14" spans="1:39" ht="13.5" customHeight="1">
      <c r="B14" s="375" t="str">
        <f t="shared" si="0"/>
        <v/>
      </c>
      <c r="C14" s="375" t="str">
        <f t="shared" si="1"/>
        <v>ach</v>
      </c>
      <c r="D14" s="399" t="s">
        <v>505</v>
      </c>
      <c r="E14" s="389">
        <f>SUM(E10:E13)</f>
        <v>12</v>
      </c>
      <c r="F14" s="389">
        <f t="shared" ref="F14:AB14" si="4">SUM(F10:F13)</f>
        <v>12</v>
      </c>
      <c r="G14" s="389">
        <f t="shared" si="4"/>
        <v>13</v>
      </c>
      <c r="H14" s="389">
        <f t="shared" si="4"/>
        <v>7</v>
      </c>
      <c r="I14" s="389">
        <f t="shared" si="4"/>
        <v>26</v>
      </c>
      <c r="J14" s="389">
        <f t="shared" si="4"/>
        <v>18</v>
      </c>
      <c r="K14" s="389">
        <f t="shared" si="4"/>
        <v>29</v>
      </c>
      <c r="L14" s="389">
        <f t="shared" si="4"/>
        <v>27</v>
      </c>
      <c r="M14" s="389">
        <f t="shared" si="4"/>
        <v>24</v>
      </c>
      <c r="N14" s="389">
        <f t="shared" si="4"/>
        <v>16</v>
      </c>
      <c r="O14" s="389">
        <f t="shared" si="4"/>
        <v>53</v>
      </c>
      <c r="P14" s="389">
        <f t="shared" si="4"/>
        <v>43</v>
      </c>
      <c r="Q14" s="389">
        <f t="shared" si="4"/>
        <v>30</v>
      </c>
      <c r="R14" s="389">
        <f t="shared" si="4"/>
        <v>30</v>
      </c>
      <c r="S14" s="389">
        <f t="shared" si="4"/>
        <v>18</v>
      </c>
      <c r="T14" s="389">
        <f t="shared" si="4"/>
        <v>18</v>
      </c>
      <c r="U14" s="389">
        <f t="shared" si="4"/>
        <v>48</v>
      </c>
      <c r="V14" s="389">
        <f t="shared" si="4"/>
        <v>46</v>
      </c>
      <c r="W14" s="389">
        <f t="shared" si="4"/>
        <v>2</v>
      </c>
      <c r="X14" s="389">
        <f t="shared" si="4"/>
        <v>2</v>
      </c>
      <c r="Y14" s="389">
        <f t="shared" si="4"/>
        <v>1</v>
      </c>
      <c r="Z14" s="389">
        <f t="shared" si="4"/>
        <v>0</v>
      </c>
      <c r="AA14" s="389">
        <f t="shared" si="4"/>
        <v>3</v>
      </c>
      <c r="AB14" s="389">
        <f t="shared" si="4"/>
        <v>2</v>
      </c>
      <c r="AC14" s="389">
        <f t="shared" ref="AC14:AH14" si="5">SUM(AC10:AC13)</f>
        <v>73</v>
      </c>
      <c r="AD14" s="389">
        <f t="shared" si="5"/>
        <v>71</v>
      </c>
      <c r="AE14" s="389">
        <f t="shared" si="5"/>
        <v>56</v>
      </c>
      <c r="AF14" s="389">
        <f t="shared" si="5"/>
        <v>41</v>
      </c>
      <c r="AG14" s="389">
        <f t="shared" si="5"/>
        <v>129</v>
      </c>
      <c r="AH14" s="1179">
        <f t="shared" si="5"/>
        <v>112</v>
      </c>
      <c r="AI14" s="1194"/>
      <c r="AJ14" s="816"/>
      <c r="AK14" s="378"/>
      <c r="AL14" s="378"/>
      <c r="AM14" s="378"/>
    </row>
    <row r="15" spans="1:39" ht="13.5" customHeight="1">
      <c r="A15" s="375" t="s">
        <v>587</v>
      </c>
      <c r="B15" s="375" t="str">
        <f t="shared" si="0"/>
        <v>AMIENS</v>
      </c>
      <c r="C15" s="375" t="str">
        <f t="shared" si="1"/>
        <v xml:space="preserve"> </v>
      </c>
      <c r="D15" s="396" t="s">
        <v>170</v>
      </c>
      <c r="E15" s="390">
        <v>5</v>
      </c>
      <c r="F15" s="390">
        <v>5</v>
      </c>
      <c r="G15" s="390"/>
      <c r="H15" s="390"/>
      <c r="I15" s="390">
        <v>5</v>
      </c>
      <c r="J15" s="390">
        <v>5</v>
      </c>
      <c r="K15" s="390">
        <v>7</v>
      </c>
      <c r="L15" s="390">
        <v>7</v>
      </c>
      <c r="M15" s="390">
        <v>12</v>
      </c>
      <c r="N15" s="390">
        <v>10</v>
      </c>
      <c r="O15" s="390">
        <v>19</v>
      </c>
      <c r="P15" s="390">
        <v>17</v>
      </c>
      <c r="Q15" s="390">
        <v>8</v>
      </c>
      <c r="R15" s="390">
        <v>8</v>
      </c>
      <c r="S15" s="390">
        <v>2</v>
      </c>
      <c r="T15" s="390">
        <v>1</v>
      </c>
      <c r="U15" s="390">
        <v>10</v>
      </c>
      <c r="V15" s="390">
        <v>9</v>
      </c>
      <c r="W15" s="390"/>
      <c r="X15" s="390"/>
      <c r="Y15" s="390"/>
      <c r="Z15" s="390"/>
      <c r="AA15" s="390"/>
      <c r="AB15" s="390">
        <v>0</v>
      </c>
      <c r="AC15" s="866">
        <f t="shared" si="2"/>
        <v>20</v>
      </c>
      <c r="AD15" s="866">
        <f t="shared" si="2"/>
        <v>20</v>
      </c>
      <c r="AE15" s="866">
        <f t="shared" si="2"/>
        <v>14</v>
      </c>
      <c r="AF15" s="866">
        <f t="shared" si="2"/>
        <v>11</v>
      </c>
      <c r="AG15" s="866">
        <f t="shared" si="3"/>
        <v>34</v>
      </c>
      <c r="AH15" s="867">
        <f t="shared" si="3"/>
        <v>31</v>
      </c>
      <c r="AI15" s="1194"/>
      <c r="AJ15" s="378"/>
      <c r="AK15" s="378"/>
      <c r="AL15" s="378"/>
      <c r="AM15" s="378"/>
    </row>
    <row r="16" spans="1:39" ht="13.5" customHeight="1">
      <c r="A16" s="375" t="s">
        <v>588</v>
      </c>
      <c r="B16" s="375" t="str">
        <f t="shared" si="0"/>
        <v>COMPIEGNE UTC</v>
      </c>
      <c r="C16" s="375" t="str">
        <f t="shared" si="1"/>
        <v>ach</v>
      </c>
      <c r="D16" s="400" t="s">
        <v>389</v>
      </c>
      <c r="E16" s="394"/>
      <c r="F16" s="394"/>
      <c r="G16" s="394"/>
      <c r="H16" s="394"/>
      <c r="I16" s="394"/>
      <c r="J16" s="394">
        <v>0</v>
      </c>
      <c r="K16" s="394">
        <v>1</v>
      </c>
      <c r="L16" s="394">
        <v>1</v>
      </c>
      <c r="M16" s="394">
        <v>1</v>
      </c>
      <c r="N16" s="394">
        <v>1</v>
      </c>
      <c r="O16" s="394">
        <v>2</v>
      </c>
      <c r="P16" s="394">
        <v>2</v>
      </c>
      <c r="Q16" s="394">
        <v>4</v>
      </c>
      <c r="R16" s="394">
        <v>4</v>
      </c>
      <c r="S16" s="394">
        <v>3</v>
      </c>
      <c r="T16" s="394">
        <v>3</v>
      </c>
      <c r="U16" s="394">
        <v>7</v>
      </c>
      <c r="V16" s="394">
        <v>7</v>
      </c>
      <c r="W16" s="394"/>
      <c r="X16" s="394"/>
      <c r="Y16" s="394"/>
      <c r="Z16" s="394"/>
      <c r="AA16" s="394"/>
      <c r="AB16" s="394">
        <v>0</v>
      </c>
      <c r="AC16" s="874">
        <f t="shared" si="2"/>
        <v>5</v>
      </c>
      <c r="AD16" s="874">
        <f t="shared" si="2"/>
        <v>5</v>
      </c>
      <c r="AE16" s="874">
        <f t="shared" si="2"/>
        <v>4</v>
      </c>
      <c r="AF16" s="874">
        <f t="shared" si="2"/>
        <v>4</v>
      </c>
      <c r="AG16" s="874">
        <f t="shared" si="3"/>
        <v>9</v>
      </c>
      <c r="AH16" s="875">
        <f t="shared" si="3"/>
        <v>9</v>
      </c>
      <c r="AI16" s="1194"/>
      <c r="AJ16" s="378"/>
      <c r="AK16" s="378"/>
      <c r="AL16" s="378"/>
      <c r="AM16" s="378"/>
    </row>
    <row r="17" spans="1:39" ht="13.5" customHeight="1">
      <c r="B17" s="375" t="str">
        <f t="shared" si="0"/>
        <v/>
      </c>
      <c r="C17" s="375" t="str">
        <f t="shared" si="1"/>
        <v>ach</v>
      </c>
      <c r="D17" s="399" t="s">
        <v>390</v>
      </c>
      <c r="E17" s="389">
        <f>SUM(E15:E16)</f>
        <v>5</v>
      </c>
      <c r="F17" s="389">
        <f t="shared" ref="F17:AB17" si="6">SUM(F15:F16)</f>
        <v>5</v>
      </c>
      <c r="G17" s="389">
        <f t="shared" si="6"/>
        <v>0</v>
      </c>
      <c r="H17" s="389">
        <f t="shared" si="6"/>
        <v>0</v>
      </c>
      <c r="I17" s="389">
        <f t="shared" si="6"/>
        <v>5</v>
      </c>
      <c r="J17" s="389">
        <f t="shared" si="6"/>
        <v>5</v>
      </c>
      <c r="K17" s="389">
        <f t="shared" si="6"/>
        <v>8</v>
      </c>
      <c r="L17" s="389">
        <f t="shared" si="6"/>
        <v>8</v>
      </c>
      <c r="M17" s="389">
        <f t="shared" si="6"/>
        <v>13</v>
      </c>
      <c r="N17" s="389">
        <f t="shared" si="6"/>
        <v>11</v>
      </c>
      <c r="O17" s="389">
        <f t="shared" si="6"/>
        <v>21</v>
      </c>
      <c r="P17" s="389">
        <f t="shared" si="6"/>
        <v>19</v>
      </c>
      <c r="Q17" s="389">
        <f t="shared" si="6"/>
        <v>12</v>
      </c>
      <c r="R17" s="389">
        <f t="shared" si="6"/>
        <v>12</v>
      </c>
      <c r="S17" s="389">
        <f t="shared" si="6"/>
        <v>5</v>
      </c>
      <c r="T17" s="389">
        <f t="shared" si="6"/>
        <v>4</v>
      </c>
      <c r="U17" s="389">
        <f t="shared" si="6"/>
        <v>17</v>
      </c>
      <c r="V17" s="389">
        <f t="shared" si="6"/>
        <v>16</v>
      </c>
      <c r="W17" s="389">
        <f t="shared" si="6"/>
        <v>0</v>
      </c>
      <c r="X17" s="389">
        <f t="shared" si="6"/>
        <v>0</v>
      </c>
      <c r="Y17" s="389">
        <f t="shared" si="6"/>
        <v>0</v>
      </c>
      <c r="Z17" s="389">
        <f t="shared" si="6"/>
        <v>0</v>
      </c>
      <c r="AA17" s="389">
        <f t="shared" si="6"/>
        <v>0</v>
      </c>
      <c r="AB17" s="389">
        <f t="shared" si="6"/>
        <v>0</v>
      </c>
      <c r="AC17" s="389">
        <f t="shared" ref="AC17:AH17" si="7">SUM(AC15:AC16)</f>
        <v>25</v>
      </c>
      <c r="AD17" s="389">
        <f t="shared" si="7"/>
        <v>25</v>
      </c>
      <c r="AE17" s="389">
        <f t="shared" si="7"/>
        <v>18</v>
      </c>
      <c r="AF17" s="389">
        <f t="shared" si="7"/>
        <v>15</v>
      </c>
      <c r="AG17" s="389">
        <f t="shared" si="7"/>
        <v>43</v>
      </c>
      <c r="AH17" s="1179">
        <f t="shared" si="7"/>
        <v>40</v>
      </c>
      <c r="AI17" s="1194"/>
      <c r="AJ17" s="378"/>
      <c r="AK17" s="378"/>
      <c r="AL17" s="378"/>
      <c r="AM17" s="378"/>
    </row>
    <row r="18" spans="1:39" ht="13.5" customHeight="1">
      <c r="A18" s="375" t="s">
        <v>589</v>
      </c>
      <c r="B18" s="375" t="str">
        <f t="shared" si="0"/>
        <v>ANTILLES-GUYANE</v>
      </c>
      <c r="C18" s="375" t="str">
        <f t="shared" si="1"/>
        <v xml:space="preserve"> </v>
      </c>
      <c r="D18" s="1010" t="s">
        <v>391</v>
      </c>
      <c r="E18" s="390"/>
      <c r="F18" s="390"/>
      <c r="G18" s="390"/>
      <c r="H18" s="390"/>
      <c r="I18" s="390"/>
      <c r="J18" s="390">
        <v>0</v>
      </c>
      <c r="K18" s="1729">
        <v>1</v>
      </c>
      <c r="L18" s="390"/>
      <c r="M18" s="390"/>
      <c r="N18" s="390"/>
      <c r="O18" s="390">
        <v>1</v>
      </c>
      <c r="P18" s="390">
        <v>0</v>
      </c>
      <c r="Q18" s="390"/>
      <c r="R18" s="390"/>
      <c r="S18" s="390"/>
      <c r="T18" s="390"/>
      <c r="U18" s="390"/>
      <c r="V18" s="390">
        <v>0</v>
      </c>
      <c r="W18" s="390"/>
      <c r="X18" s="390"/>
      <c r="Y18" s="390"/>
      <c r="Z18" s="390"/>
      <c r="AA18" s="390"/>
      <c r="AB18" s="390">
        <v>0</v>
      </c>
      <c r="AC18" s="866">
        <f t="shared" si="2"/>
        <v>1</v>
      </c>
      <c r="AD18" s="866">
        <f t="shared" si="2"/>
        <v>0</v>
      </c>
      <c r="AE18" s="866">
        <f t="shared" si="2"/>
        <v>0</v>
      </c>
      <c r="AF18" s="866">
        <f t="shared" si="2"/>
        <v>0</v>
      </c>
      <c r="AG18" s="866">
        <f t="shared" si="3"/>
        <v>1</v>
      </c>
      <c r="AH18" s="867">
        <f t="shared" si="3"/>
        <v>0</v>
      </c>
      <c r="AI18" s="1194"/>
      <c r="AJ18" s="378"/>
      <c r="AK18" s="378"/>
      <c r="AL18" s="378"/>
      <c r="AM18" s="378"/>
    </row>
    <row r="19" spans="1:39" ht="13.5" customHeight="1">
      <c r="B19" s="375" t="str">
        <f t="shared" si="0"/>
        <v/>
      </c>
      <c r="C19" s="375" t="str">
        <f t="shared" si="1"/>
        <v>ach</v>
      </c>
      <c r="D19" s="399" t="s">
        <v>392</v>
      </c>
      <c r="E19" s="389">
        <f>SUM(E18)</f>
        <v>0</v>
      </c>
      <c r="F19" s="389">
        <f t="shared" ref="F19:AB19" si="8">SUM(F18)</f>
        <v>0</v>
      </c>
      <c r="G19" s="389">
        <f t="shared" si="8"/>
        <v>0</v>
      </c>
      <c r="H19" s="389">
        <f t="shared" si="8"/>
        <v>0</v>
      </c>
      <c r="I19" s="389">
        <f t="shared" si="8"/>
        <v>0</v>
      </c>
      <c r="J19" s="389">
        <f t="shared" si="8"/>
        <v>0</v>
      </c>
      <c r="K19" s="389">
        <f t="shared" si="8"/>
        <v>1</v>
      </c>
      <c r="L19" s="389">
        <f t="shared" si="8"/>
        <v>0</v>
      </c>
      <c r="M19" s="389">
        <f t="shared" si="8"/>
        <v>0</v>
      </c>
      <c r="N19" s="389">
        <f t="shared" si="8"/>
        <v>0</v>
      </c>
      <c r="O19" s="389">
        <f t="shared" si="8"/>
        <v>1</v>
      </c>
      <c r="P19" s="389">
        <f t="shared" si="8"/>
        <v>0</v>
      </c>
      <c r="Q19" s="389">
        <f t="shared" si="8"/>
        <v>0</v>
      </c>
      <c r="R19" s="389">
        <f t="shared" si="8"/>
        <v>0</v>
      </c>
      <c r="S19" s="389">
        <f t="shared" si="8"/>
        <v>0</v>
      </c>
      <c r="T19" s="389">
        <f t="shared" si="8"/>
        <v>0</v>
      </c>
      <c r="U19" s="389">
        <f t="shared" si="8"/>
        <v>0</v>
      </c>
      <c r="V19" s="389">
        <f t="shared" si="8"/>
        <v>0</v>
      </c>
      <c r="W19" s="389">
        <f t="shared" si="8"/>
        <v>0</v>
      </c>
      <c r="X19" s="389">
        <f t="shared" si="8"/>
        <v>0</v>
      </c>
      <c r="Y19" s="389">
        <f t="shared" si="8"/>
        <v>0</v>
      </c>
      <c r="Z19" s="389">
        <f t="shared" si="8"/>
        <v>0</v>
      </c>
      <c r="AA19" s="389">
        <f t="shared" si="8"/>
        <v>0</v>
      </c>
      <c r="AB19" s="389">
        <f t="shared" si="8"/>
        <v>0</v>
      </c>
      <c r="AC19" s="872">
        <f t="shared" si="2"/>
        <v>1</v>
      </c>
      <c r="AD19" s="872">
        <f>SUM(AD18:AD18)</f>
        <v>0</v>
      </c>
      <c r="AE19" s="872">
        <f t="shared" si="2"/>
        <v>0</v>
      </c>
      <c r="AF19" s="872">
        <f>SUM(AF18:AF18)</f>
        <v>0</v>
      </c>
      <c r="AG19" s="872">
        <f t="shared" si="3"/>
        <v>1</v>
      </c>
      <c r="AH19" s="873">
        <f>SUM(AH18:AH18)</f>
        <v>0</v>
      </c>
      <c r="AI19" s="1194"/>
      <c r="AJ19" s="378"/>
      <c r="AK19" s="378"/>
      <c r="AL19" s="378"/>
      <c r="AM19" s="378"/>
    </row>
    <row r="20" spans="1:39" ht="13.5" customHeight="1">
      <c r="A20" s="375" t="s">
        <v>590</v>
      </c>
      <c r="B20" s="375" t="str">
        <f t="shared" si="0"/>
        <v>BESANCON</v>
      </c>
      <c r="C20" s="375" t="str">
        <f t="shared" si="1"/>
        <v xml:space="preserve"> </v>
      </c>
      <c r="D20" s="396" t="s">
        <v>171</v>
      </c>
      <c r="E20" s="391">
        <v>4</v>
      </c>
      <c r="F20" s="392">
        <v>4</v>
      </c>
      <c r="G20" s="390"/>
      <c r="H20" s="390"/>
      <c r="I20" s="390">
        <v>4</v>
      </c>
      <c r="J20" s="390">
        <v>4</v>
      </c>
      <c r="K20" s="390">
        <v>12</v>
      </c>
      <c r="L20" s="390">
        <v>12</v>
      </c>
      <c r="M20" s="390">
        <v>6</v>
      </c>
      <c r="N20" s="390">
        <v>5</v>
      </c>
      <c r="O20" s="390">
        <v>18</v>
      </c>
      <c r="P20" s="390">
        <v>17</v>
      </c>
      <c r="Q20" s="390">
        <v>6</v>
      </c>
      <c r="R20" s="390">
        <v>6</v>
      </c>
      <c r="S20" s="390">
        <v>6</v>
      </c>
      <c r="T20" s="390">
        <v>5</v>
      </c>
      <c r="U20" s="390">
        <v>12</v>
      </c>
      <c r="V20" s="390">
        <v>11</v>
      </c>
      <c r="W20" s="390"/>
      <c r="X20" s="390"/>
      <c r="Y20" s="390">
        <v>1</v>
      </c>
      <c r="Z20" s="390">
        <v>1</v>
      </c>
      <c r="AA20" s="390">
        <v>1</v>
      </c>
      <c r="AB20" s="390">
        <v>1</v>
      </c>
      <c r="AC20" s="866">
        <f t="shared" si="2"/>
        <v>22</v>
      </c>
      <c r="AD20" s="866">
        <f t="shared" si="2"/>
        <v>22</v>
      </c>
      <c r="AE20" s="866">
        <f t="shared" si="2"/>
        <v>13</v>
      </c>
      <c r="AF20" s="866">
        <f t="shared" si="2"/>
        <v>11</v>
      </c>
      <c r="AG20" s="866">
        <f t="shared" si="3"/>
        <v>35</v>
      </c>
      <c r="AH20" s="867">
        <f t="shared" si="3"/>
        <v>33</v>
      </c>
      <c r="AI20" s="1194"/>
      <c r="AJ20" s="378"/>
      <c r="AK20" s="378"/>
      <c r="AL20" s="378"/>
      <c r="AM20" s="378"/>
    </row>
    <row r="21" spans="1:39" ht="13.5" customHeight="1">
      <c r="A21" s="375" t="s">
        <v>591</v>
      </c>
      <c r="B21" s="375" t="str">
        <f t="shared" si="0"/>
        <v>BELFORT UTBM</v>
      </c>
      <c r="C21" s="375" t="str">
        <f t="shared" si="1"/>
        <v xml:space="preserve"> </v>
      </c>
      <c r="D21" s="397" t="s">
        <v>393</v>
      </c>
      <c r="E21" s="393"/>
      <c r="F21" s="393"/>
      <c r="G21" s="393"/>
      <c r="H21" s="393"/>
      <c r="I21" s="393"/>
      <c r="J21" s="393">
        <v>0</v>
      </c>
      <c r="K21" s="393"/>
      <c r="L21" s="393"/>
      <c r="M21" s="393"/>
      <c r="N21" s="393"/>
      <c r="O21" s="393"/>
      <c r="P21" s="393">
        <v>0</v>
      </c>
      <c r="Q21" s="393">
        <v>1</v>
      </c>
      <c r="R21" s="393">
        <v>1</v>
      </c>
      <c r="S21" s="393"/>
      <c r="T21" s="393"/>
      <c r="U21" s="393">
        <v>1</v>
      </c>
      <c r="V21" s="393">
        <v>1</v>
      </c>
      <c r="W21" s="393"/>
      <c r="X21" s="393"/>
      <c r="Y21" s="393"/>
      <c r="Z21" s="393"/>
      <c r="AA21" s="393"/>
      <c r="AB21" s="393">
        <v>0</v>
      </c>
      <c r="AC21" s="868">
        <f t="shared" si="2"/>
        <v>1</v>
      </c>
      <c r="AD21" s="868">
        <f t="shared" si="2"/>
        <v>1</v>
      </c>
      <c r="AE21" s="868">
        <f t="shared" si="2"/>
        <v>0</v>
      </c>
      <c r="AF21" s="868">
        <f t="shared" si="2"/>
        <v>0</v>
      </c>
      <c r="AG21" s="868">
        <f t="shared" si="3"/>
        <v>1</v>
      </c>
      <c r="AH21" s="869">
        <f t="shared" si="3"/>
        <v>1</v>
      </c>
      <c r="AI21" s="1194"/>
      <c r="AJ21" s="378"/>
      <c r="AK21" s="378"/>
      <c r="AL21" s="378"/>
      <c r="AM21" s="378"/>
    </row>
    <row r="22" spans="1:39" ht="13.5" customHeight="1">
      <c r="A22" s="375" t="s">
        <v>592</v>
      </c>
      <c r="B22" s="375" t="str">
        <f t="shared" si="0"/>
        <v>BESANCON ENS MECA</v>
      </c>
      <c r="C22" s="375" t="str">
        <f t="shared" si="1"/>
        <v xml:space="preserve"> </v>
      </c>
      <c r="D22" s="398" t="s">
        <v>394</v>
      </c>
      <c r="E22" s="381"/>
      <c r="F22" s="381"/>
      <c r="G22" s="381"/>
      <c r="H22" s="381"/>
      <c r="I22" s="381"/>
      <c r="J22" s="381">
        <v>0</v>
      </c>
      <c r="K22" s="381"/>
      <c r="L22" s="381"/>
      <c r="M22" s="381"/>
      <c r="N22" s="381"/>
      <c r="O22" s="381"/>
      <c r="P22" s="381">
        <v>0</v>
      </c>
      <c r="Q22" s="381">
        <v>1</v>
      </c>
      <c r="R22" s="381">
        <v>1</v>
      </c>
      <c r="S22" s="381"/>
      <c r="T22" s="381"/>
      <c r="U22" s="381">
        <v>1</v>
      </c>
      <c r="V22" s="381">
        <v>1</v>
      </c>
      <c r="W22" s="381"/>
      <c r="X22" s="381"/>
      <c r="Y22" s="381"/>
      <c r="Z22" s="381"/>
      <c r="AA22" s="381"/>
      <c r="AB22" s="381">
        <v>0</v>
      </c>
      <c r="AC22" s="870">
        <f t="shared" si="2"/>
        <v>1</v>
      </c>
      <c r="AD22" s="870">
        <f t="shared" si="2"/>
        <v>1</v>
      </c>
      <c r="AE22" s="870">
        <f t="shared" si="2"/>
        <v>0</v>
      </c>
      <c r="AF22" s="870">
        <f t="shared" si="2"/>
        <v>0</v>
      </c>
      <c r="AG22" s="870">
        <f t="shared" si="3"/>
        <v>1</v>
      </c>
      <c r="AH22" s="871">
        <f t="shared" si="3"/>
        <v>1</v>
      </c>
      <c r="AI22" s="1194"/>
      <c r="AJ22" s="378"/>
      <c r="AK22" s="378"/>
      <c r="AL22" s="378"/>
      <c r="AM22" s="378"/>
    </row>
    <row r="23" spans="1:39" ht="13.5" customHeight="1">
      <c r="B23" s="375" t="str">
        <f t="shared" si="0"/>
        <v/>
      </c>
      <c r="C23" s="375" t="str">
        <f t="shared" si="1"/>
        <v>ach</v>
      </c>
      <c r="D23" s="399" t="s">
        <v>395</v>
      </c>
      <c r="E23" s="389">
        <f>SUM(E20:E22)</f>
        <v>4</v>
      </c>
      <c r="F23" s="389">
        <f t="shared" ref="F23:AH23" si="9">SUM(F20:F22)</f>
        <v>4</v>
      </c>
      <c r="G23" s="389">
        <f t="shared" si="9"/>
        <v>0</v>
      </c>
      <c r="H23" s="389">
        <f t="shared" si="9"/>
        <v>0</v>
      </c>
      <c r="I23" s="389">
        <f t="shared" si="9"/>
        <v>4</v>
      </c>
      <c r="J23" s="389">
        <f t="shared" si="9"/>
        <v>4</v>
      </c>
      <c r="K23" s="389">
        <f t="shared" si="9"/>
        <v>12</v>
      </c>
      <c r="L23" s="389">
        <f t="shared" si="9"/>
        <v>12</v>
      </c>
      <c r="M23" s="389">
        <f t="shared" si="9"/>
        <v>6</v>
      </c>
      <c r="N23" s="389">
        <f t="shared" si="9"/>
        <v>5</v>
      </c>
      <c r="O23" s="389">
        <f t="shared" si="9"/>
        <v>18</v>
      </c>
      <c r="P23" s="389">
        <f t="shared" si="9"/>
        <v>17</v>
      </c>
      <c r="Q23" s="389">
        <f t="shared" si="9"/>
        <v>8</v>
      </c>
      <c r="R23" s="389">
        <f t="shared" si="9"/>
        <v>8</v>
      </c>
      <c r="S23" s="389">
        <f t="shared" si="9"/>
        <v>6</v>
      </c>
      <c r="T23" s="389">
        <f t="shared" si="9"/>
        <v>5</v>
      </c>
      <c r="U23" s="389">
        <f t="shared" si="9"/>
        <v>14</v>
      </c>
      <c r="V23" s="389">
        <f t="shared" si="9"/>
        <v>13</v>
      </c>
      <c r="W23" s="389">
        <f t="shared" si="9"/>
        <v>0</v>
      </c>
      <c r="X23" s="389">
        <f t="shared" si="9"/>
        <v>0</v>
      </c>
      <c r="Y23" s="389">
        <f t="shared" si="9"/>
        <v>1</v>
      </c>
      <c r="Z23" s="389">
        <f t="shared" si="9"/>
        <v>1</v>
      </c>
      <c r="AA23" s="389">
        <f t="shared" si="9"/>
        <v>1</v>
      </c>
      <c r="AB23" s="389">
        <f t="shared" si="9"/>
        <v>1</v>
      </c>
      <c r="AC23" s="389">
        <f t="shared" si="9"/>
        <v>24</v>
      </c>
      <c r="AD23" s="389">
        <f t="shared" si="9"/>
        <v>24</v>
      </c>
      <c r="AE23" s="389">
        <f t="shared" si="9"/>
        <v>13</v>
      </c>
      <c r="AF23" s="389">
        <f t="shared" si="9"/>
        <v>11</v>
      </c>
      <c r="AG23" s="389">
        <f t="shared" si="9"/>
        <v>37</v>
      </c>
      <c r="AH23" s="1179">
        <f t="shared" si="9"/>
        <v>35</v>
      </c>
      <c r="AI23" s="1194"/>
      <c r="AJ23" s="378"/>
      <c r="AK23" s="378"/>
      <c r="AL23" s="378"/>
      <c r="AM23" s="378"/>
    </row>
    <row r="24" spans="1:39" ht="13.5" customHeight="1">
      <c r="A24" s="375" t="s">
        <v>593</v>
      </c>
      <c r="B24" s="375" t="str">
        <f t="shared" si="0"/>
        <v>BORDEAUX 1</v>
      </c>
      <c r="C24" s="375" t="str">
        <f t="shared" si="1"/>
        <v>ach</v>
      </c>
      <c r="D24" s="396" t="s">
        <v>718</v>
      </c>
      <c r="E24" s="390">
        <v>7</v>
      </c>
      <c r="F24" s="390">
        <v>7</v>
      </c>
      <c r="G24" s="390">
        <v>5</v>
      </c>
      <c r="H24" s="390">
        <v>5</v>
      </c>
      <c r="I24" s="390">
        <v>12</v>
      </c>
      <c r="J24" s="390">
        <v>12</v>
      </c>
      <c r="K24" s="390">
        <v>9</v>
      </c>
      <c r="L24" s="390">
        <v>9</v>
      </c>
      <c r="M24" s="390">
        <v>6</v>
      </c>
      <c r="N24" s="390">
        <v>6</v>
      </c>
      <c r="O24" s="390">
        <v>15</v>
      </c>
      <c r="P24" s="390">
        <v>15</v>
      </c>
      <c r="Q24" s="390">
        <v>10</v>
      </c>
      <c r="R24" s="390">
        <v>10</v>
      </c>
      <c r="S24" s="390">
        <v>11</v>
      </c>
      <c r="T24" s="390">
        <v>11</v>
      </c>
      <c r="U24" s="390">
        <v>21</v>
      </c>
      <c r="V24" s="390">
        <v>21</v>
      </c>
      <c r="W24" s="390">
        <v>2</v>
      </c>
      <c r="X24" s="390">
        <v>2</v>
      </c>
      <c r="Y24" s="390">
        <v>1</v>
      </c>
      <c r="Z24" s="390">
        <v>1</v>
      </c>
      <c r="AA24" s="390">
        <v>3</v>
      </c>
      <c r="AB24" s="390">
        <v>3</v>
      </c>
      <c r="AC24" s="866">
        <f t="shared" si="2"/>
        <v>28</v>
      </c>
      <c r="AD24" s="866">
        <f t="shared" si="2"/>
        <v>28</v>
      </c>
      <c r="AE24" s="866">
        <f t="shared" si="2"/>
        <v>23</v>
      </c>
      <c r="AF24" s="866">
        <f t="shared" si="2"/>
        <v>23</v>
      </c>
      <c r="AG24" s="866">
        <f t="shared" si="3"/>
        <v>51</v>
      </c>
      <c r="AH24" s="867">
        <f t="shared" si="3"/>
        <v>51</v>
      </c>
      <c r="AI24" s="1194"/>
      <c r="AJ24" s="378"/>
      <c r="AK24" s="378"/>
      <c r="AL24" s="378"/>
      <c r="AM24" s="378"/>
    </row>
    <row r="25" spans="1:39" ht="13.5" customHeight="1">
      <c r="A25" s="375" t="s">
        <v>594</v>
      </c>
      <c r="B25" s="375" t="str">
        <f t="shared" si="0"/>
        <v>BORDEAUX 3</v>
      </c>
      <c r="C25" s="375" t="str">
        <f t="shared" si="1"/>
        <v xml:space="preserve"> </v>
      </c>
      <c r="D25" s="397" t="s">
        <v>396</v>
      </c>
      <c r="E25" s="393"/>
      <c r="F25" s="393"/>
      <c r="G25" s="393"/>
      <c r="H25" s="393"/>
      <c r="I25" s="393"/>
      <c r="J25" s="393">
        <v>0</v>
      </c>
      <c r="K25" s="393">
        <v>6</v>
      </c>
      <c r="L25" s="393">
        <v>5</v>
      </c>
      <c r="M25" s="393">
        <v>5</v>
      </c>
      <c r="N25" s="393">
        <v>5</v>
      </c>
      <c r="O25" s="393">
        <v>11</v>
      </c>
      <c r="P25" s="393">
        <v>10</v>
      </c>
      <c r="Q25" s="393"/>
      <c r="R25" s="393"/>
      <c r="S25" s="393"/>
      <c r="T25" s="393"/>
      <c r="U25" s="393"/>
      <c r="V25" s="393">
        <v>0</v>
      </c>
      <c r="W25" s="393"/>
      <c r="X25" s="393"/>
      <c r="Y25" s="393"/>
      <c r="Z25" s="393"/>
      <c r="AA25" s="393"/>
      <c r="AB25" s="393">
        <v>0</v>
      </c>
      <c r="AC25" s="868">
        <f t="shared" si="2"/>
        <v>6</v>
      </c>
      <c r="AD25" s="868">
        <f t="shared" si="2"/>
        <v>5</v>
      </c>
      <c r="AE25" s="868">
        <f t="shared" si="2"/>
        <v>5</v>
      </c>
      <c r="AF25" s="868">
        <f t="shared" si="2"/>
        <v>5</v>
      </c>
      <c r="AG25" s="868">
        <f t="shared" si="3"/>
        <v>11</v>
      </c>
      <c r="AH25" s="869">
        <f t="shared" si="3"/>
        <v>10</v>
      </c>
      <c r="AI25" s="1194"/>
      <c r="AJ25" s="378"/>
      <c r="AK25" s="378"/>
      <c r="AL25" s="378"/>
      <c r="AM25" s="378"/>
    </row>
    <row r="26" spans="1:39" ht="13.5" customHeight="1">
      <c r="D26" s="1011" t="s">
        <v>397</v>
      </c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/>
      <c r="R26" s="393"/>
      <c r="S26" s="393"/>
      <c r="T26" s="393"/>
      <c r="U26" s="393"/>
      <c r="V26" s="393"/>
      <c r="W26" s="393"/>
      <c r="X26" s="393"/>
      <c r="Y26" s="393"/>
      <c r="Z26" s="393"/>
      <c r="AA26" s="393"/>
      <c r="AB26" s="393"/>
      <c r="AC26" s="868"/>
      <c r="AD26" s="868"/>
      <c r="AE26" s="868"/>
      <c r="AF26" s="868"/>
      <c r="AG26" s="868"/>
      <c r="AH26" s="869"/>
      <c r="AI26" s="1194"/>
      <c r="AJ26" s="378"/>
      <c r="AK26" s="378"/>
      <c r="AL26" s="378"/>
      <c r="AM26" s="378"/>
    </row>
    <row r="27" spans="1:39" ht="13.5" customHeight="1">
      <c r="D27" s="1011" t="s">
        <v>398</v>
      </c>
      <c r="E27" s="393"/>
      <c r="F27" s="393"/>
      <c r="G27" s="393"/>
      <c r="H27" s="393"/>
      <c r="I27" s="393"/>
      <c r="J27" s="393"/>
      <c r="K27" s="393"/>
      <c r="L27" s="393"/>
      <c r="M27" s="393"/>
      <c r="N27" s="393"/>
      <c r="O27" s="393"/>
      <c r="P27" s="393"/>
      <c r="Q27" s="393"/>
      <c r="R27" s="393"/>
      <c r="S27" s="393"/>
      <c r="T27" s="393"/>
      <c r="U27" s="393"/>
      <c r="V27" s="393"/>
      <c r="W27" s="393"/>
      <c r="X27" s="393"/>
      <c r="Y27" s="393"/>
      <c r="Z27" s="393"/>
      <c r="AA27" s="393"/>
      <c r="AB27" s="393"/>
      <c r="AC27" s="868"/>
      <c r="AD27" s="868"/>
      <c r="AE27" s="868"/>
      <c r="AF27" s="868"/>
      <c r="AG27" s="868"/>
      <c r="AH27" s="869"/>
      <c r="AI27" s="1194"/>
      <c r="AJ27" s="378"/>
      <c r="AK27" s="378"/>
      <c r="AL27" s="378"/>
      <c r="AM27" s="378"/>
    </row>
    <row r="28" spans="1:39" ht="13.5" customHeight="1">
      <c r="A28" s="375" t="s">
        <v>595</v>
      </c>
      <c r="B28" s="375" t="str">
        <f t="shared" si="0"/>
        <v>BORDEAUX IP</v>
      </c>
      <c r="C28" s="375" t="str">
        <f t="shared" si="1"/>
        <v xml:space="preserve"> </v>
      </c>
      <c r="D28" s="398" t="s">
        <v>562</v>
      </c>
      <c r="E28" s="381"/>
      <c r="F28" s="381"/>
      <c r="G28" s="381"/>
      <c r="H28" s="381"/>
      <c r="I28" s="381"/>
      <c r="J28" s="381">
        <v>0</v>
      </c>
      <c r="K28" s="381"/>
      <c r="L28" s="381"/>
      <c r="M28" s="381"/>
      <c r="N28" s="381"/>
      <c r="O28" s="381"/>
      <c r="P28" s="381">
        <v>0</v>
      </c>
      <c r="Q28" s="381">
        <v>4</v>
      </c>
      <c r="R28" s="381">
        <v>4</v>
      </c>
      <c r="S28" s="381">
        <v>5</v>
      </c>
      <c r="T28" s="381">
        <v>5</v>
      </c>
      <c r="U28" s="381">
        <v>9</v>
      </c>
      <c r="V28" s="381">
        <v>9</v>
      </c>
      <c r="W28" s="381"/>
      <c r="X28" s="381"/>
      <c r="Y28" s="381"/>
      <c r="Z28" s="381"/>
      <c r="AA28" s="381"/>
      <c r="AB28" s="381">
        <v>0</v>
      </c>
      <c r="AC28" s="870">
        <f t="shared" si="2"/>
        <v>4</v>
      </c>
      <c r="AD28" s="870">
        <f t="shared" si="2"/>
        <v>4</v>
      </c>
      <c r="AE28" s="870">
        <f t="shared" si="2"/>
        <v>5</v>
      </c>
      <c r="AF28" s="870">
        <f t="shared" si="2"/>
        <v>5</v>
      </c>
      <c r="AG28" s="870">
        <f t="shared" si="3"/>
        <v>9</v>
      </c>
      <c r="AH28" s="871">
        <f t="shared" si="3"/>
        <v>9</v>
      </c>
      <c r="AI28" s="1194"/>
      <c r="AJ28" s="378"/>
      <c r="AK28" s="378"/>
      <c r="AL28" s="378"/>
      <c r="AM28" s="378"/>
    </row>
    <row r="29" spans="1:39" ht="13.5" customHeight="1">
      <c r="A29" s="1538"/>
      <c r="C29" s="375" t="str">
        <f t="shared" si="1"/>
        <v>ach</v>
      </c>
      <c r="D29" s="399" t="s">
        <v>399</v>
      </c>
      <c r="E29" s="1538"/>
      <c r="F29" s="1538"/>
      <c r="G29" s="389">
        <f t="shared" ref="G29:AH29" si="10">SUM(G24:G28)</f>
        <v>5</v>
      </c>
      <c r="H29" s="389">
        <f t="shared" si="10"/>
        <v>5</v>
      </c>
      <c r="I29" s="389">
        <f t="shared" si="10"/>
        <v>12</v>
      </c>
      <c r="J29" s="389">
        <f t="shared" si="10"/>
        <v>12</v>
      </c>
      <c r="K29" s="389">
        <f t="shared" si="10"/>
        <v>15</v>
      </c>
      <c r="L29" s="389">
        <f t="shared" si="10"/>
        <v>14</v>
      </c>
      <c r="M29" s="389">
        <f t="shared" si="10"/>
        <v>11</v>
      </c>
      <c r="N29" s="389">
        <f t="shared" si="10"/>
        <v>11</v>
      </c>
      <c r="O29" s="389">
        <f t="shared" si="10"/>
        <v>26</v>
      </c>
      <c r="P29" s="389">
        <f t="shared" si="10"/>
        <v>25</v>
      </c>
      <c r="Q29" s="389">
        <f t="shared" si="10"/>
        <v>14</v>
      </c>
      <c r="R29" s="389">
        <f t="shared" si="10"/>
        <v>14</v>
      </c>
      <c r="S29" s="389">
        <f t="shared" si="10"/>
        <v>16</v>
      </c>
      <c r="T29" s="389">
        <f t="shared" si="10"/>
        <v>16</v>
      </c>
      <c r="U29" s="389">
        <f t="shared" si="10"/>
        <v>30</v>
      </c>
      <c r="V29" s="389">
        <f t="shared" si="10"/>
        <v>30</v>
      </c>
      <c r="W29" s="389">
        <f t="shared" si="10"/>
        <v>2</v>
      </c>
      <c r="X29" s="389">
        <f t="shared" si="10"/>
        <v>2</v>
      </c>
      <c r="Y29" s="389">
        <f t="shared" si="10"/>
        <v>1</v>
      </c>
      <c r="Z29" s="389">
        <f t="shared" si="10"/>
        <v>1</v>
      </c>
      <c r="AA29" s="389">
        <f t="shared" si="10"/>
        <v>3</v>
      </c>
      <c r="AB29" s="389">
        <f t="shared" si="10"/>
        <v>3</v>
      </c>
      <c r="AC29" s="389">
        <f t="shared" si="10"/>
        <v>38</v>
      </c>
      <c r="AD29" s="389">
        <f t="shared" si="10"/>
        <v>37</v>
      </c>
      <c r="AE29" s="389">
        <f t="shared" si="10"/>
        <v>33</v>
      </c>
      <c r="AF29" s="389">
        <f t="shared" si="10"/>
        <v>33</v>
      </c>
      <c r="AG29" s="389">
        <f t="shared" si="10"/>
        <v>71</v>
      </c>
      <c r="AH29" s="1179">
        <f t="shared" si="10"/>
        <v>70</v>
      </c>
      <c r="AI29" s="1194"/>
      <c r="AJ29" s="378"/>
      <c r="AK29" s="378"/>
      <c r="AL29" s="378"/>
      <c r="AM29" s="378"/>
    </row>
    <row r="30" spans="1:39" ht="13.5" customHeight="1">
      <c r="A30" s="375" t="s">
        <v>596</v>
      </c>
      <c r="B30" s="375" t="str">
        <f t="shared" si="0"/>
        <v>CAEN</v>
      </c>
      <c r="C30" s="375" t="str">
        <f t="shared" si="1"/>
        <v xml:space="preserve"> </v>
      </c>
      <c r="D30" s="396" t="s">
        <v>173</v>
      </c>
      <c r="E30" s="390">
        <v>1</v>
      </c>
      <c r="F30" s="390">
        <v>1</v>
      </c>
      <c r="G30" s="390"/>
      <c r="H30" s="390"/>
      <c r="I30" s="390">
        <v>1</v>
      </c>
      <c r="J30" s="390">
        <v>1</v>
      </c>
      <c r="K30" s="390">
        <v>2</v>
      </c>
      <c r="L30" s="390">
        <v>2</v>
      </c>
      <c r="M30" s="390">
        <v>2</v>
      </c>
      <c r="N30" s="390">
        <v>2</v>
      </c>
      <c r="O30" s="390">
        <v>4</v>
      </c>
      <c r="P30" s="390">
        <v>4</v>
      </c>
      <c r="Q30" s="390">
        <v>1</v>
      </c>
      <c r="R30" s="390">
        <v>1</v>
      </c>
      <c r="S30" s="390">
        <v>3</v>
      </c>
      <c r="T30" s="390">
        <v>3</v>
      </c>
      <c r="U30" s="390">
        <v>4</v>
      </c>
      <c r="V30" s="390">
        <v>4</v>
      </c>
      <c r="W30" s="390"/>
      <c r="X30" s="390"/>
      <c r="Y30" s="390"/>
      <c r="Z30" s="390"/>
      <c r="AA30" s="390"/>
      <c r="AB30" s="390">
        <v>0</v>
      </c>
      <c r="AC30" s="866">
        <f t="shared" si="2"/>
        <v>4</v>
      </c>
      <c r="AD30" s="866">
        <f t="shared" si="2"/>
        <v>4</v>
      </c>
      <c r="AE30" s="866">
        <f t="shared" si="2"/>
        <v>5</v>
      </c>
      <c r="AF30" s="866">
        <f t="shared" si="2"/>
        <v>5</v>
      </c>
      <c r="AG30" s="866">
        <f t="shared" si="3"/>
        <v>9</v>
      </c>
      <c r="AH30" s="867">
        <f t="shared" si="3"/>
        <v>9</v>
      </c>
      <c r="AI30" s="1194"/>
      <c r="AJ30" s="378"/>
      <c r="AK30" s="378"/>
      <c r="AL30" s="378"/>
      <c r="AM30" s="378"/>
    </row>
    <row r="31" spans="1:39" ht="13.5" customHeight="1">
      <c r="B31" s="375" t="str">
        <f t="shared" si="0"/>
        <v/>
      </c>
      <c r="C31" s="375" t="str">
        <f t="shared" si="1"/>
        <v>ach</v>
      </c>
      <c r="D31" s="399" t="s">
        <v>400</v>
      </c>
      <c r="E31" s="389">
        <f t="shared" ref="E31:AB31" si="11">SUM(E30:E30)</f>
        <v>1</v>
      </c>
      <c r="F31" s="389">
        <f t="shared" si="11"/>
        <v>1</v>
      </c>
      <c r="G31" s="389">
        <f t="shared" si="11"/>
        <v>0</v>
      </c>
      <c r="H31" s="389">
        <f t="shared" si="11"/>
        <v>0</v>
      </c>
      <c r="I31" s="389">
        <f t="shared" si="11"/>
        <v>1</v>
      </c>
      <c r="J31" s="389">
        <f t="shared" si="11"/>
        <v>1</v>
      </c>
      <c r="K31" s="389">
        <f t="shared" si="11"/>
        <v>2</v>
      </c>
      <c r="L31" s="389">
        <f t="shared" si="11"/>
        <v>2</v>
      </c>
      <c r="M31" s="389">
        <f t="shared" si="11"/>
        <v>2</v>
      </c>
      <c r="N31" s="389">
        <f t="shared" si="11"/>
        <v>2</v>
      </c>
      <c r="O31" s="389">
        <f t="shared" si="11"/>
        <v>4</v>
      </c>
      <c r="P31" s="389">
        <f t="shared" si="11"/>
        <v>4</v>
      </c>
      <c r="Q31" s="389">
        <f t="shared" si="11"/>
        <v>1</v>
      </c>
      <c r="R31" s="389">
        <f t="shared" si="11"/>
        <v>1</v>
      </c>
      <c r="S31" s="389">
        <f t="shared" si="11"/>
        <v>3</v>
      </c>
      <c r="T31" s="389">
        <f t="shared" si="11"/>
        <v>3</v>
      </c>
      <c r="U31" s="389">
        <f t="shared" si="11"/>
        <v>4</v>
      </c>
      <c r="V31" s="389">
        <f t="shared" si="11"/>
        <v>4</v>
      </c>
      <c r="W31" s="389">
        <f t="shared" si="11"/>
        <v>0</v>
      </c>
      <c r="X31" s="389">
        <f t="shared" si="11"/>
        <v>0</v>
      </c>
      <c r="Y31" s="389">
        <f t="shared" si="11"/>
        <v>0</v>
      </c>
      <c r="Z31" s="389">
        <f t="shared" si="11"/>
        <v>0</v>
      </c>
      <c r="AA31" s="389">
        <f t="shared" si="11"/>
        <v>0</v>
      </c>
      <c r="AB31" s="389">
        <f t="shared" si="11"/>
        <v>0</v>
      </c>
      <c r="AC31" s="872">
        <f t="shared" si="2"/>
        <v>4</v>
      </c>
      <c r="AD31" s="872">
        <f>SUM(AD30:AD30)</f>
        <v>4</v>
      </c>
      <c r="AE31" s="872">
        <f t="shared" si="2"/>
        <v>5</v>
      </c>
      <c r="AF31" s="872">
        <f>SUM(AF30:AF30)</f>
        <v>5</v>
      </c>
      <c r="AG31" s="872">
        <f t="shared" si="3"/>
        <v>9</v>
      </c>
      <c r="AH31" s="873">
        <f>SUM(AH30:AH30)</f>
        <v>9</v>
      </c>
      <c r="AI31" s="1194"/>
      <c r="AJ31" s="378"/>
      <c r="AK31" s="378"/>
      <c r="AL31" s="378"/>
      <c r="AM31" s="378"/>
    </row>
    <row r="32" spans="1:39" ht="13.5" customHeight="1">
      <c r="A32" s="375" t="s">
        <v>597</v>
      </c>
      <c r="B32" s="375" t="str">
        <f t="shared" si="0"/>
        <v>CLERMONT 1</v>
      </c>
      <c r="C32" s="375" t="str">
        <f t="shared" si="1"/>
        <v xml:space="preserve"> </v>
      </c>
      <c r="D32" s="396" t="s">
        <v>401</v>
      </c>
      <c r="E32" s="390">
        <v>7</v>
      </c>
      <c r="F32" s="390">
        <v>7</v>
      </c>
      <c r="G32" s="390">
        <v>1</v>
      </c>
      <c r="H32" s="390"/>
      <c r="I32" s="390">
        <v>8</v>
      </c>
      <c r="J32" s="390">
        <v>7</v>
      </c>
      <c r="K32" s="390"/>
      <c r="L32" s="390"/>
      <c r="M32" s="390"/>
      <c r="N32" s="390"/>
      <c r="O32" s="390"/>
      <c r="P32" s="390">
        <v>0</v>
      </c>
      <c r="Q32" s="390"/>
      <c r="R32" s="390"/>
      <c r="S32" s="390">
        <v>1</v>
      </c>
      <c r="T32" s="390">
        <v>1</v>
      </c>
      <c r="U32" s="390">
        <v>1</v>
      </c>
      <c r="V32" s="390">
        <v>1</v>
      </c>
      <c r="W32" s="390">
        <v>1</v>
      </c>
      <c r="X32" s="390">
        <v>1</v>
      </c>
      <c r="Y32" s="390">
        <v>2</v>
      </c>
      <c r="Z32" s="390">
        <v>2</v>
      </c>
      <c r="AA32" s="390">
        <v>3</v>
      </c>
      <c r="AB32" s="390">
        <v>3</v>
      </c>
      <c r="AC32" s="866">
        <f t="shared" si="2"/>
        <v>8</v>
      </c>
      <c r="AD32" s="866">
        <f t="shared" si="2"/>
        <v>8</v>
      </c>
      <c r="AE32" s="866">
        <f t="shared" si="2"/>
        <v>4</v>
      </c>
      <c r="AF32" s="866">
        <f t="shared" si="2"/>
        <v>3</v>
      </c>
      <c r="AG32" s="866">
        <f t="shared" si="3"/>
        <v>12</v>
      </c>
      <c r="AH32" s="867">
        <f t="shared" si="3"/>
        <v>11</v>
      </c>
      <c r="AI32" s="1194"/>
      <c r="AJ32" s="378"/>
      <c r="AK32" s="378"/>
      <c r="AL32" s="378"/>
      <c r="AM32" s="378"/>
    </row>
    <row r="33" spans="1:39" ht="13.5" customHeight="1">
      <c r="A33" s="375" t="s">
        <v>598</v>
      </c>
      <c r="B33" s="375" t="str">
        <f t="shared" si="0"/>
        <v>CLERMONT 2</v>
      </c>
      <c r="C33" s="375" t="str">
        <f t="shared" si="1"/>
        <v xml:space="preserve"> </v>
      </c>
      <c r="D33" s="397" t="s">
        <v>402</v>
      </c>
      <c r="E33" s="393"/>
      <c r="F33" s="393"/>
      <c r="G33" s="393"/>
      <c r="H33" s="393"/>
      <c r="I33" s="393"/>
      <c r="J33" s="393">
        <v>0</v>
      </c>
      <c r="K33" s="393">
        <v>10</v>
      </c>
      <c r="L33" s="393">
        <v>9</v>
      </c>
      <c r="M33" s="393">
        <v>4</v>
      </c>
      <c r="N33" s="393">
        <v>4</v>
      </c>
      <c r="O33" s="393">
        <v>14</v>
      </c>
      <c r="P33" s="393">
        <v>13</v>
      </c>
      <c r="Q33" s="393">
        <v>2</v>
      </c>
      <c r="R33" s="393">
        <v>2</v>
      </c>
      <c r="S33" s="393">
        <v>1</v>
      </c>
      <c r="T33" s="393">
        <v>1</v>
      </c>
      <c r="U33" s="393">
        <v>3</v>
      </c>
      <c r="V33" s="393">
        <v>2</v>
      </c>
      <c r="W33" s="393"/>
      <c r="X33" s="393"/>
      <c r="Y33" s="393"/>
      <c r="Z33" s="393"/>
      <c r="AA33" s="393"/>
      <c r="AB33" s="393">
        <v>0</v>
      </c>
      <c r="AC33" s="868">
        <f t="shared" si="2"/>
        <v>12</v>
      </c>
      <c r="AD33" s="868">
        <f t="shared" si="2"/>
        <v>11</v>
      </c>
      <c r="AE33" s="868">
        <f t="shared" si="2"/>
        <v>5</v>
      </c>
      <c r="AF33" s="868">
        <f t="shared" si="2"/>
        <v>5</v>
      </c>
      <c r="AG33" s="868">
        <f t="shared" si="3"/>
        <v>17</v>
      </c>
      <c r="AH33" s="869">
        <f t="shared" si="3"/>
        <v>16</v>
      </c>
      <c r="AI33" s="1194"/>
      <c r="AJ33" s="378"/>
      <c r="AK33" s="378"/>
      <c r="AL33" s="378"/>
      <c r="AM33" s="378"/>
    </row>
    <row r="34" spans="1:39" ht="13.5" customHeight="1">
      <c r="B34" s="1177"/>
      <c r="C34" s="375" t="str">
        <f t="shared" si="1"/>
        <v>ach</v>
      </c>
      <c r="D34" s="397" t="s">
        <v>403</v>
      </c>
      <c r="E34" s="393"/>
      <c r="F34" s="393"/>
      <c r="G34" s="393"/>
      <c r="H34" s="393"/>
      <c r="I34" s="393"/>
      <c r="J34" s="393">
        <v>0</v>
      </c>
      <c r="K34" s="393"/>
      <c r="L34" s="393"/>
      <c r="M34" s="393"/>
      <c r="N34" s="393"/>
      <c r="O34" s="393"/>
      <c r="P34" s="393">
        <v>0</v>
      </c>
      <c r="Q34" s="393">
        <v>2</v>
      </c>
      <c r="R34" s="393">
        <v>2</v>
      </c>
      <c r="S34" s="393"/>
      <c r="T34" s="393"/>
      <c r="U34" s="393">
        <v>2</v>
      </c>
      <c r="V34" s="393">
        <v>2</v>
      </c>
      <c r="W34" s="393"/>
      <c r="X34" s="393"/>
      <c r="Y34" s="393"/>
      <c r="Z34" s="393"/>
      <c r="AA34" s="393"/>
      <c r="AB34" s="393">
        <v>0</v>
      </c>
      <c r="AC34" s="868">
        <f t="shared" si="2"/>
        <v>2</v>
      </c>
      <c r="AD34" s="868">
        <f t="shared" si="2"/>
        <v>2</v>
      </c>
      <c r="AE34" s="868">
        <f t="shared" si="2"/>
        <v>0</v>
      </c>
      <c r="AF34" s="868">
        <f t="shared" si="2"/>
        <v>0</v>
      </c>
      <c r="AG34" s="868">
        <f t="shared" si="3"/>
        <v>2</v>
      </c>
      <c r="AH34" s="869">
        <f t="shared" si="3"/>
        <v>2</v>
      </c>
      <c r="AI34" s="1194"/>
      <c r="AJ34" s="378"/>
      <c r="AK34" s="378"/>
      <c r="AL34" s="378"/>
      <c r="AM34" s="378"/>
    </row>
    <row r="35" spans="1:39" ht="13.5" customHeight="1">
      <c r="A35" s="375" t="s">
        <v>599</v>
      </c>
      <c r="B35" s="375" t="str">
        <f t="shared" si="0"/>
        <v>CLERMONT IFMA</v>
      </c>
      <c r="C35" s="375" t="str">
        <f t="shared" si="1"/>
        <v xml:space="preserve"> </v>
      </c>
      <c r="D35" s="398" t="s">
        <v>404</v>
      </c>
      <c r="E35" s="381"/>
      <c r="F35" s="381"/>
      <c r="G35" s="381"/>
      <c r="H35" s="381"/>
      <c r="I35" s="381"/>
      <c r="J35" s="381">
        <v>0</v>
      </c>
      <c r="K35" s="381"/>
      <c r="L35" s="381"/>
      <c r="M35" s="381"/>
      <c r="N35" s="381"/>
      <c r="O35" s="381"/>
      <c r="P35" s="381">
        <v>0</v>
      </c>
      <c r="Q35" s="381">
        <v>1</v>
      </c>
      <c r="R35" s="381">
        <v>1</v>
      </c>
      <c r="S35" s="381"/>
      <c r="T35" s="381"/>
      <c r="U35" s="381">
        <v>1</v>
      </c>
      <c r="V35" s="381">
        <v>1</v>
      </c>
      <c r="W35" s="381"/>
      <c r="X35" s="381"/>
      <c r="Y35" s="381"/>
      <c r="Z35" s="381"/>
      <c r="AA35" s="381"/>
      <c r="AB35" s="381">
        <v>0</v>
      </c>
      <c r="AC35" s="870">
        <f t="shared" si="2"/>
        <v>1</v>
      </c>
      <c r="AD35" s="870">
        <f t="shared" si="2"/>
        <v>1</v>
      </c>
      <c r="AE35" s="870">
        <f t="shared" si="2"/>
        <v>0</v>
      </c>
      <c r="AF35" s="870">
        <f t="shared" si="2"/>
        <v>0</v>
      </c>
      <c r="AG35" s="870">
        <f t="shared" si="3"/>
        <v>1</v>
      </c>
      <c r="AH35" s="871">
        <f t="shared" si="3"/>
        <v>1</v>
      </c>
      <c r="AI35" s="1194"/>
      <c r="AJ35" s="378"/>
      <c r="AK35" s="378"/>
      <c r="AL35" s="378"/>
      <c r="AM35" s="378"/>
    </row>
    <row r="36" spans="1:39" ht="13.5" customHeight="1">
      <c r="B36" s="375" t="str">
        <f t="shared" si="0"/>
        <v/>
      </c>
      <c r="C36" s="375" t="str">
        <f t="shared" si="1"/>
        <v>ach</v>
      </c>
      <c r="D36" s="399" t="s">
        <v>405</v>
      </c>
      <c r="E36" s="389">
        <f>SUM(E32:E35)</f>
        <v>7</v>
      </c>
      <c r="F36" s="389">
        <f t="shared" ref="F36:AB36" si="12">SUM(F32:F35)</f>
        <v>7</v>
      </c>
      <c r="G36" s="389">
        <f t="shared" si="12"/>
        <v>1</v>
      </c>
      <c r="H36" s="389">
        <f t="shared" si="12"/>
        <v>0</v>
      </c>
      <c r="I36" s="389">
        <f t="shared" si="12"/>
        <v>8</v>
      </c>
      <c r="J36" s="389">
        <f t="shared" si="12"/>
        <v>7</v>
      </c>
      <c r="K36" s="389">
        <f t="shared" si="12"/>
        <v>10</v>
      </c>
      <c r="L36" s="389">
        <f t="shared" si="12"/>
        <v>9</v>
      </c>
      <c r="M36" s="389">
        <f t="shared" si="12"/>
        <v>4</v>
      </c>
      <c r="N36" s="389">
        <f t="shared" si="12"/>
        <v>4</v>
      </c>
      <c r="O36" s="389">
        <f t="shared" si="12"/>
        <v>14</v>
      </c>
      <c r="P36" s="389">
        <f t="shared" si="12"/>
        <v>13</v>
      </c>
      <c r="Q36" s="389">
        <f t="shared" si="12"/>
        <v>5</v>
      </c>
      <c r="R36" s="389">
        <f t="shared" si="12"/>
        <v>5</v>
      </c>
      <c r="S36" s="389">
        <f t="shared" si="12"/>
        <v>2</v>
      </c>
      <c r="T36" s="389">
        <f t="shared" si="12"/>
        <v>2</v>
      </c>
      <c r="U36" s="389">
        <f t="shared" si="12"/>
        <v>7</v>
      </c>
      <c r="V36" s="389">
        <f t="shared" si="12"/>
        <v>6</v>
      </c>
      <c r="W36" s="389">
        <f t="shared" si="12"/>
        <v>1</v>
      </c>
      <c r="X36" s="389">
        <f t="shared" si="12"/>
        <v>1</v>
      </c>
      <c r="Y36" s="389">
        <f t="shared" si="12"/>
        <v>2</v>
      </c>
      <c r="Z36" s="389">
        <f t="shared" si="12"/>
        <v>2</v>
      </c>
      <c r="AA36" s="389">
        <f t="shared" si="12"/>
        <v>3</v>
      </c>
      <c r="AB36" s="389">
        <f t="shared" si="12"/>
        <v>3</v>
      </c>
      <c r="AC36" s="872">
        <f t="shared" si="2"/>
        <v>23</v>
      </c>
      <c r="AD36" s="872">
        <f>SUM(AD32:AD35)</f>
        <v>22</v>
      </c>
      <c r="AE36" s="872">
        <f t="shared" si="2"/>
        <v>9</v>
      </c>
      <c r="AF36" s="872">
        <f>SUM(AF32:AF35)</f>
        <v>8</v>
      </c>
      <c r="AG36" s="872">
        <f t="shared" si="3"/>
        <v>32</v>
      </c>
      <c r="AH36" s="873">
        <f>SUM(AH32:AH35)</f>
        <v>30</v>
      </c>
      <c r="AI36" s="1194"/>
      <c r="AJ36" s="378"/>
      <c r="AK36" s="378"/>
      <c r="AL36" s="378"/>
      <c r="AM36" s="378"/>
    </row>
    <row r="37" spans="1:39" ht="13.5" customHeight="1">
      <c r="A37" s="375" t="s">
        <v>600</v>
      </c>
      <c r="B37" s="375" t="str">
        <f t="shared" si="0"/>
        <v>CORTE</v>
      </c>
      <c r="C37" s="375" t="str">
        <f t="shared" si="1"/>
        <v xml:space="preserve"> </v>
      </c>
      <c r="D37" s="396" t="s">
        <v>406</v>
      </c>
      <c r="E37" s="390">
        <v>2</v>
      </c>
      <c r="F37" s="390">
        <v>1</v>
      </c>
      <c r="G37" s="390">
        <v>1</v>
      </c>
      <c r="H37" s="390">
        <v>1</v>
      </c>
      <c r="I37" s="390">
        <v>3</v>
      </c>
      <c r="J37" s="390">
        <v>2</v>
      </c>
      <c r="K37" s="390"/>
      <c r="L37" s="390"/>
      <c r="M37" s="390">
        <v>1</v>
      </c>
      <c r="N37" s="390">
        <v>1</v>
      </c>
      <c r="O37" s="390">
        <v>1</v>
      </c>
      <c r="P37" s="390">
        <v>1</v>
      </c>
      <c r="Q37" s="390">
        <v>1</v>
      </c>
      <c r="R37" s="390">
        <v>1</v>
      </c>
      <c r="S37" s="390"/>
      <c r="T37" s="390"/>
      <c r="U37" s="390">
        <v>1</v>
      </c>
      <c r="V37" s="390">
        <v>1</v>
      </c>
      <c r="W37" s="390"/>
      <c r="X37" s="390"/>
      <c r="Y37" s="390"/>
      <c r="Z37" s="390"/>
      <c r="AA37" s="390"/>
      <c r="AB37" s="390">
        <v>0</v>
      </c>
      <c r="AC37" s="866">
        <f t="shared" si="2"/>
        <v>3</v>
      </c>
      <c r="AD37" s="866">
        <f t="shared" si="2"/>
        <v>2</v>
      </c>
      <c r="AE37" s="866">
        <f t="shared" si="2"/>
        <v>2</v>
      </c>
      <c r="AF37" s="866">
        <f t="shared" si="2"/>
        <v>2</v>
      </c>
      <c r="AG37" s="866">
        <f t="shared" si="3"/>
        <v>5</v>
      </c>
      <c r="AH37" s="867">
        <f t="shared" si="3"/>
        <v>4</v>
      </c>
      <c r="AI37" s="1194"/>
      <c r="AJ37" s="378"/>
      <c r="AK37" s="378"/>
      <c r="AL37" s="378"/>
      <c r="AM37" s="378"/>
    </row>
    <row r="38" spans="1:39" ht="13.5" customHeight="1">
      <c r="B38" s="375" t="str">
        <f t="shared" si="0"/>
        <v/>
      </c>
      <c r="C38" s="375" t="str">
        <f t="shared" si="1"/>
        <v>ach</v>
      </c>
      <c r="D38" s="399" t="s">
        <v>407</v>
      </c>
      <c r="E38" s="389">
        <f>SUM(E37)</f>
        <v>2</v>
      </c>
      <c r="F38" s="389">
        <f t="shared" ref="F38:AB38" si="13">SUM(F37)</f>
        <v>1</v>
      </c>
      <c r="G38" s="389">
        <f t="shared" si="13"/>
        <v>1</v>
      </c>
      <c r="H38" s="389">
        <f t="shared" si="13"/>
        <v>1</v>
      </c>
      <c r="I38" s="389">
        <f t="shared" si="13"/>
        <v>3</v>
      </c>
      <c r="J38" s="389">
        <f t="shared" si="13"/>
        <v>2</v>
      </c>
      <c r="K38" s="389">
        <f t="shared" si="13"/>
        <v>0</v>
      </c>
      <c r="L38" s="389">
        <f t="shared" si="13"/>
        <v>0</v>
      </c>
      <c r="M38" s="389">
        <f t="shared" si="13"/>
        <v>1</v>
      </c>
      <c r="N38" s="389">
        <f t="shared" si="13"/>
        <v>1</v>
      </c>
      <c r="O38" s="389">
        <f t="shared" si="13"/>
        <v>1</v>
      </c>
      <c r="P38" s="389">
        <f t="shared" si="13"/>
        <v>1</v>
      </c>
      <c r="Q38" s="389">
        <f t="shared" si="13"/>
        <v>1</v>
      </c>
      <c r="R38" s="389">
        <f t="shared" si="13"/>
        <v>1</v>
      </c>
      <c r="S38" s="389">
        <f t="shared" si="13"/>
        <v>0</v>
      </c>
      <c r="T38" s="389">
        <f t="shared" si="13"/>
        <v>0</v>
      </c>
      <c r="U38" s="389">
        <f t="shared" si="13"/>
        <v>1</v>
      </c>
      <c r="V38" s="389">
        <f t="shared" si="13"/>
        <v>1</v>
      </c>
      <c r="W38" s="389">
        <f t="shared" si="13"/>
        <v>0</v>
      </c>
      <c r="X38" s="389">
        <f t="shared" si="13"/>
        <v>0</v>
      </c>
      <c r="Y38" s="389">
        <f t="shared" si="13"/>
        <v>0</v>
      </c>
      <c r="Z38" s="389">
        <f t="shared" si="13"/>
        <v>0</v>
      </c>
      <c r="AA38" s="389">
        <f t="shared" si="13"/>
        <v>0</v>
      </c>
      <c r="AB38" s="389">
        <f t="shared" si="13"/>
        <v>0</v>
      </c>
      <c r="AC38" s="872">
        <f t="shared" si="2"/>
        <v>3</v>
      </c>
      <c r="AD38" s="872">
        <f>SUM(AD37:AD37)</f>
        <v>2</v>
      </c>
      <c r="AE38" s="872">
        <f t="shared" si="2"/>
        <v>2</v>
      </c>
      <c r="AF38" s="872">
        <f>SUM(AF37:AF37)</f>
        <v>2</v>
      </c>
      <c r="AG38" s="872">
        <f t="shared" si="3"/>
        <v>5</v>
      </c>
      <c r="AH38" s="873">
        <f>SUM(AH37:AH37)</f>
        <v>4</v>
      </c>
      <c r="AI38" s="1194"/>
      <c r="AJ38" s="378"/>
      <c r="AK38" s="378"/>
      <c r="AL38" s="378"/>
      <c r="AM38" s="378"/>
    </row>
    <row r="39" spans="1:39" ht="13.5" customHeight="1">
      <c r="A39" s="375" t="s">
        <v>601</v>
      </c>
      <c r="B39" s="375" t="str">
        <f t="shared" si="0"/>
        <v>PARIS  8</v>
      </c>
      <c r="C39" s="375" t="str">
        <f t="shared" si="1"/>
        <v>ach</v>
      </c>
      <c r="D39" s="396" t="s">
        <v>512</v>
      </c>
      <c r="E39" s="390">
        <v>3</v>
      </c>
      <c r="F39" s="390">
        <v>3</v>
      </c>
      <c r="G39" s="390"/>
      <c r="H39" s="390"/>
      <c r="I39" s="390">
        <v>3</v>
      </c>
      <c r="J39" s="390">
        <v>3</v>
      </c>
      <c r="K39" s="390">
        <v>19</v>
      </c>
      <c r="L39" s="390">
        <v>18</v>
      </c>
      <c r="M39" s="390">
        <v>12</v>
      </c>
      <c r="N39" s="390">
        <v>12</v>
      </c>
      <c r="O39" s="390">
        <v>31</v>
      </c>
      <c r="P39" s="390">
        <v>30</v>
      </c>
      <c r="Q39" s="390">
        <v>2</v>
      </c>
      <c r="R39" s="390">
        <v>2</v>
      </c>
      <c r="S39" s="390">
        <v>1</v>
      </c>
      <c r="T39" s="390">
        <v>1</v>
      </c>
      <c r="U39" s="390">
        <v>3</v>
      </c>
      <c r="V39" s="390">
        <v>3</v>
      </c>
      <c r="W39" s="390"/>
      <c r="X39" s="390"/>
      <c r="Y39" s="390"/>
      <c r="Z39" s="390"/>
      <c r="AA39" s="390"/>
      <c r="AB39" s="390">
        <v>0</v>
      </c>
      <c r="AC39" s="866">
        <f t="shared" si="2"/>
        <v>24</v>
      </c>
      <c r="AD39" s="866">
        <f t="shared" si="2"/>
        <v>23</v>
      </c>
      <c r="AE39" s="866">
        <f t="shared" si="2"/>
        <v>13</v>
      </c>
      <c r="AF39" s="866">
        <f t="shared" si="2"/>
        <v>13</v>
      </c>
      <c r="AG39" s="866">
        <f t="shared" si="3"/>
        <v>37</v>
      </c>
      <c r="AH39" s="867">
        <f t="shared" si="3"/>
        <v>36</v>
      </c>
      <c r="AI39" s="1194"/>
      <c r="AJ39" s="378"/>
      <c r="AK39" s="378"/>
      <c r="AL39" s="378"/>
      <c r="AM39" s="378"/>
    </row>
    <row r="40" spans="1:39" ht="13.5" customHeight="1">
      <c r="A40" s="375" t="s">
        <v>602</v>
      </c>
      <c r="B40" s="375" t="str">
        <f t="shared" si="0"/>
        <v>PARIS 12</v>
      </c>
      <c r="C40" s="375" t="str">
        <f t="shared" ref="C40:C70" si="14">IF(B40=D40," ","ach")</f>
        <v xml:space="preserve"> </v>
      </c>
      <c r="D40" s="397" t="s">
        <v>408</v>
      </c>
      <c r="E40" s="393">
        <v>6</v>
      </c>
      <c r="F40" s="393">
        <v>6</v>
      </c>
      <c r="G40" s="393">
        <v>2</v>
      </c>
      <c r="H40" s="393">
        <v>2</v>
      </c>
      <c r="I40" s="393">
        <v>8</v>
      </c>
      <c r="J40" s="393">
        <v>8</v>
      </c>
      <c r="K40" s="393">
        <v>16</v>
      </c>
      <c r="L40" s="393">
        <v>16</v>
      </c>
      <c r="M40" s="393">
        <v>5</v>
      </c>
      <c r="N40" s="393">
        <v>5</v>
      </c>
      <c r="O40" s="393">
        <v>21</v>
      </c>
      <c r="P40" s="393">
        <v>21</v>
      </c>
      <c r="Q40" s="393">
        <v>8</v>
      </c>
      <c r="R40" s="393">
        <v>8</v>
      </c>
      <c r="S40" s="393">
        <v>6</v>
      </c>
      <c r="T40" s="393">
        <v>6</v>
      </c>
      <c r="U40" s="393">
        <v>14</v>
      </c>
      <c r="V40" s="393">
        <v>14</v>
      </c>
      <c r="W40" s="393"/>
      <c r="X40" s="393"/>
      <c r="Y40" s="393"/>
      <c r="Z40" s="393"/>
      <c r="AA40" s="393"/>
      <c r="AB40" s="393">
        <v>0</v>
      </c>
      <c r="AC40" s="868">
        <f t="shared" si="2"/>
        <v>30</v>
      </c>
      <c r="AD40" s="868">
        <f t="shared" si="2"/>
        <v>30</v>
      </c>
      <c r="AE40" s="868">
        <f t="shared" si="2"/>
        <v>13</v>
      </c>
      <c r="AF40" s="868">
        <f t="shared" si="2"/>
        <v>13</v>
      </c>
      <c r="AG40" s="868">
        <f t="shared" si="3"/>
        <v>43</v>
      </c>
      <c r="AH40" s="869">
        <f t="shared" si="3"/>
        <v>43</v>
      </c>
      <c r="AI40" s="1194"/>
      <c r="AJ40" s="378"/>
      <c r="AK40" s="378"/>
      <c r="AL40" s="378"/>
      <c r="AM40" s="378"/>
    </row>
    <row r="41" spans="1:39" ht="13.5" customHeight="1">
      <c r="A41" s="375" t="s">
        <v>603</v>
      </c>
      <c r="B41" s="375" t="str">
        <f t="shared" si="0"/>
        <v>PARIS 13</v>
      </c>
      <c r="C41" s="375" t="str">
        <f t="shared" si="14"/>
        <v xml:space="preserve"> </v>
      </c>
      <c r="D41" s="397" t="s">
        <v>409</v>
      </c>
      <c r="E41" s="393">
        <v>3</v>
      </c>
      <c r="F41" s="393">
        <v>3</v>
      </c>
      <c r="G41" s="393">
        <v>2</v>
      </c>
      <c r="H41" s="393">
        <v>2</v>
      </c>
      <c r="I41" s="393">
        <v>5</v>
      </c>
      <c r="J41" s="393">
        <v>5</v>
      </c>
      <c r="K41" s="393">
        <v>7</v>
      </c>
      <c r="L41" s="393">
        <v>7</v>
      </c>
      <c r="M41" s="393"/>
      <c r="N41" s="393"/>
      <c r="O41" s="393">
        <v>7</v>
      </c>
      <c r="P41" s="393">
        <v>7</v>
      </c>
      <c r="Q41" s="393">
        <v>5</v>
      </c>
      <c r="R41" s="393">
        <v>4</v>
      </c>
      <c r="S41" s="393">
        <v>3</v>
      </c>
      <c r="T41" s="393">
        <v>3</v>
      </c>
      <c r="U41" s="393">
        <v>8</v>
      </c>
      <c r="V41" s="393">
        <v>7</v>
      </c>
      <c r="W41" s="393"/>
      <c r="X41" s="393"/>
      <c r="Y41" s="393"/>
      <c r="Z41" s="393"/>
      <c r="AA41" s="393"/>
      <c r="AB41" s="393">
        <v>0</v>
      </c>
      <c r="AC41" s="868">
        <f t="shared" si="2"/>
        <v>15</v>
      </c>
      <c r="AD41" s="868">
        <f t="shared" si="2"/>
        <v>14</v>
      </c>
      <c r="AE41" s="868">
        <f t="shared" si="2"/>
        <v>5</v>
      </c>
      <c r="AF41" s="868">
        <f t="shared" si="2"/>
        <v>5</v>
      </c>
      <c r="AG41" s="868">
        <f t="shared" si="3"/>
        <v>20</v>
      </c>
      <c r="AH41" s="869">
        <f t="shared" si="3"/>
        <v>19</v>
      </c>
      <c r="AI41" s="1194"/>
      <c r="AJ41" s="378"/>
      <c r="AK41" s="378"/>
      <c r="AL41" s="378"/>
      <c r="AM41" s="378"/>
    </row>
    <row r="42" spans="1:39" ht="13.5" customHeight="1">
      <c r="A42" s="375" t="s">
        <v>604</v>
      </c>
      <c r="B42" s="375" t="str">
        <f t="shared" si="0"/>
        <v>MARNE-LA-VALLEE</v>
      </c>
      <c r="C42" s="375" t="str">
        <f t="shared" si="14"/>
        <v>ach</v>
      </c>
      <c r="D42" s="397" t="s">
        <v>410</v>
      </c>
      <c r="E42" s="393">
        <v>1</v>
      </c>
      <c r="F42" s="393">
        <v>1</v>
      </c>
      <c r="G42" s="393">
        <v>1</v>
      </c>
      <c r="H42" s="393">
        <v>1</v>
      </c>
      <c r="I42" s="393">
        <v>2</v>
      </c>
      <c r="J42" s="393">
        <v>2</v>
      </c>
      <c r="K42" s="393">
        <v>5</v>
      </c>
      <c r="L42" s="393">
        <v>5</v>
      </c>
      <c r="M42" s="393">
        <v>3</v>
      </c>
      <c r="N42" s="393">
        <v>3</v>
      </c>
      <c r="O42" s="393">
        <v>8</v>
      </c>
      <c r="P42" s="393">
        <v>8</v>
      </c>
      <c r="Q42" s="393">
        <v>2</v>
      </c>
      <c r="R42" s="393">
        <v>2</v>
      </c>
      <c r="S42" s="393">
        <v>3</v>
      </c>
      <c r="T42" s="393">
        <v>3</v>
      </c>
      <c r="U42" s="393">
        <v>5</v>
      </c>
      <c r="V42" s="393">
        <v>5</v>
      </c>
      <c r="W42" s="393"/>
      <c r="X42" s="393"/>
      <c r="Y42" s="393"/>
      <c r="Z42" s="393"/>
      <c r="AA42" s="393"/>
      <c r="AB42" s="393">
        <v>0</v>
      </c>
      <c r="AC42" s="868">
        <f t="shared" si="2"/>
        <v>8</v>
      </c>
      <c r="AD42" s="868">
        <f t="shared" si="2"/>
        <v>8</v>
      </c>
      <c r="AE42" s="868">
        <f t="shared" si="2"/>
        <v>7</v>
      </c>
      <c r="AF42" s="868">
        <f t="shared" si="2"/>
        <v>7</v>
      </c>
      <c r="AG42" s="868">
        <f t="shared" si="3"/>
        <v>15</v>
      </c>
      <c r="AH42" s="869">
        <f t="shared" si="3"/>
        <v>15</v>
      </c>
      <c r="AI42" s="1194"/>
      <c r="AJ42" s="378"/>
      <c r="AK42" s="378"/>
      <c r="AL42" s="378"/>
      <c r="AM42" s="378"/>
    </row>
    <row r="43" spans="1:39" ht="13.5" customHeight="1">
      <c r="A43" s="375" t="s">
        <v>605</v>
      </c>
      <c r="B43" s="375" t="str">
        <f t="shared" si="0"/>
        <v>CACHAN ENS</v>
      </c>
      <c r="C43" s="375" t="str">
        <f t="shared" si="14"/>
        <v xml:space="preserve"> </v>
      </c>
      <c r="D43" s="397" t="s">
        <v>411</v>
      </c>
      <c r="E43" s="393"/>
      <c r="F43" s="393"/>
      <c r="G43" s="393"/>
      <c r="H43" s="393"/>
      <c r="I43" s="393"/>
      <c r="J43" s="393">
        <v>0</v>
      </c>
      <c r="K43" s="393"/>
      <c r="L43" s="393"/>
      <c r="M43" s="393"/>
      <c r="N43" s="393"/>
      <c r="O43" s="393"/>
      <c r="P43" s="393">
        <v>0</v>
      </c>
      <c r="Q43" s="393">
        <v>3</v>
      </c>
      <c r="R43" s="393">
        <v>3</v>
      </c>
      <c r="S43" s="393">
        <v>1</v>
      </c>
      <c r="T43" s="393">
        <v>1</v>
      </c>
      <c r="U43" s="393">
        <v>4</v>
      </c>
      <c r="V43" s="393">
        <v>4</v>
      </c>
      <c r="W43" s="393"/>
      <c r="X43" s="393"/>
      <c r="Y43" s="393"/>
      <c r="Z43" s="393"/>
      <c r="AA43" s="393"/>
      <c r="AB43" s="393">
        <v>0</v>
      </c>
      <c r="AC43" s="868">
        <f t="shared" si="2"/>
        <v>3</v>
      </c>
      <c r="AD43" s="868">
        <f t="shared" si="2"/>
        <v>3</v>
      </c>
      <c r="AE43" s="868">
        <f t="shared" si="2"/>
        <v>1</v>
      </c>
      <c r="AF43" s="868">
        <f t="shared" si="2"/>
        <v>1</v>
      </c>
      <c r="AG43" s="868">
        <f t="shared" si="3"/>
        <v>4</v>
      </c>
      <c r="AH43" s="869">
        <f t="shared" si="3"/>
        <v>4</v>
      </c>
      <c r="AI43" s="1194"/>
      <c r="AJ43" s="378"/>
      <c r="AK43" s="378"/>
      <c r="AL43" s="378"/>
      <c r="AM43" s="378"/>
    </row>
    <row r="44" spans="1:39" ht="13.5" customHeight="1">
      <c r="A44" s="375" t="s">
        <v>606</v>
      </c>
      <c r="B44" s="375" t="str">
        <f t="shared" si="0"/>
        <v>PARIS ISM</v>
      </c>
      <c r="C44" s="375" t="str">
        <f t="shared" si="14"/>
        <v>ach</v>
      </c>
      <c r="D44" s="401" t="s">
        <v>412</v>
      </c>
      <c r="E44" s="395"/>
      <c r="F44" s="395"/>
      <c r="G44" s="395"/>
      <c r="H44" s="395"/>
      <c r="I44" s="395"/>
      <c r="J44" s="395">
        <v>0</v>
      </c>
      <c r="K44" s="395"/>
      <c r="L44" s="395"/>
      <c r="M44" s="395"/>
      <c r="N44" s="395"/>
      <c r="O44" s="395"/>
      <c r="P44" s="395">
        <v>0</v>
      </c>
      <c r="Q44" s="395"/>
      <c r="R44" s="395"/>
      <c r="S44" s="395">
        <v>1</v>
      </c>
      <c r="T44" s="395">
        <v>1</v>
      </c>
      <c r="U44" s="395">
        <v>1</v>
      </c>
      <c r="V44" s="395">
        <v>1</v>
      </c>
      <c r="W44" s="395"/>
      <c r="X44" s="395"/>
      <c r="Y44" s="395"/>
      <c r="Z44" s="395"/>
      <c r="AA44" s="395"/>
      <c r="AB44" s="395">
        <v>0</v>
      </c>
      <c r="AC44" s="876">
        <f t="shared" si="2"/>
        <v>0</v>
      </c>
      <c r="AD44" s="876">
        <f t="shared" si="2"/>
        <v>0</v>
      </c>
      <c r="AE44" s="876">
        <f t="shared" si="2"/>
        <v>1</v>
      </c>
      <c r="AF44" s="876">
        <f t="shared" si="2"/>
        <v>1</v>
      </c>
      <c r="AG44" s="876">
        <f t="shared" si="3"/>
        <v>1</v>
      </c>
      <c r="AH44" s="877">
        <f t="shared" si="3"/>
        <v>1</v>
      </c>
      <c r="AI44" s="1194"/>
      <c r="AJ44" s="378"/>
      <c r="AK44" s="378"/>
      <c r="AL44" s="378"/>
      <c r="AM44" s="378"/>
    </row>
    <row r="45" spans="1:39" ht="13.5" customHeight="1">
      <c r="B45" s="375" t="str">
        <f t="shared" si="0"/>
        <v/>
      </c>
      <c r="C45" s="375" t="str">
        <f t="shared" si="14"/>
        <v>ach</v>
      </c>
      <c r="D45" s="399" t="s">
        <v>413</v>
      </c>
      <c r="E45" s="389">
        <f t="shared" ref="E45:AH45" si="15">SUM(E39:E44)</f>
        <v>13</v>
      </c>
      <c r="F45" s="389">
        <f t="shared" si="15"/>
        <v>13</v>
      </c>
      <c r="G45" s="389">
        <f t="shared" si="15"/>
        <v>5</v>
      </c>
      <c r="H45" s="389">
        <f t="shared" si="15"/>
        <v>5</v>
      </c>
      <c r="I45" s="389">
        <f t="shared" si="15"/>
        <v>18</v>
      </c>
      <c r="J45" s="389">
        <f t="shared" si="15"/>
        <v>18</v>
      </c>
      <c r="K45" s="389">
        <f t="shared" si="15"/>
        <v>47</v>
      </c>
      <c r="L45" s="389">
        <f t="shared" si="15"/>
        <v>46</v>
      </c>
      <c r="M45" s="389">
        <f t="shared" si="15"/>
        <v>20</v>
      </c>
      <c r="N45" s="389">
        <f t="shared" si="15"/>
        <v>20</v>
      </c>
      <c r="O45" s="389">
        <f t="shared" si="15"/>
        <v>67</v>
      </c>
      <c r="P45" s="389">
        <f t="shared" si="15"/>
        <v>66</v>
      </c>
      <c r="Q45" s="389">
        <f t="shared" si="15"/>
        <v>20</v>
      </c>
      <c r="R45" s="389">
        <f t="shared" si="15"/>
        <v>19</v>
      </c>
      <c r="S45" s="389">
        <f t="shared" si="15"/>
        <v>15</v>
      </c>
      <c r="T45" s="389">
        <f t="shared" si="15"/>
        <v>15</v>
      </c>
      <c r="U45" s="389">
        <f t="shared" si="15"/>
        <v>35</v>
      </c>
      <c r="V45" s="389">
        <f t="shared" si="15"/>
        <v>34</v>
      </c>
      <c r="W45" s="389">
        <f t="shared" si="15"/>
        <v>0</v>
      </c>
      <c r="X45" s="389">
        <f t="shared" si="15"/>
        <v>0</v>
      </c>
      <c r="Y45" s="389">
        <f t="shared" si="15"/>
        <v>0</v>
      </c>
      <c r="Z45" s="389">
        <f t="shared" si="15"/>
        <v>0</v>
      </c>
      <c r="AA45" s="389">
        <f t="shared" si="15"/>
        <v>0</v>
      </c>
      <c r="AB45" s="389">
        <f t="shared" si="15"/>
        <v>0</v>
      </c>
      <c r="AC45" s="389">
        <f t="shared" si="15"/>
        <v>80</v>
      </c>
      <c r="AD45" s="389">
        <f t="shared" si="15"/>
        <v>78</v>
      </c>
      <c r="AE45" s="389">
        <f t="shared" si="15"/>
        <v>40</v>
      </c>
      <c r="AF45" s="389">
        <f t="shared" si="15"/>
        <v>40</v>
      </c>
      <c r="AG45" s="389">
        <f t="shared" si="15"/>
        <v>120</v>
      </c>
      <c r="AH45" s="1179">
        <f t="shared" si="15"/>
        <v>118</v>
      </c>
      <c r="AI45" s="1194"/>
      <c r="AJ45" s="378"/>
      <c r="AK45" s="378"/>
      <c r="AL45" s="378"/>
      <c r="AM45" s="378"/>
    </row>
    <row r="46" spans="1:39" ht="13.5" customHeight="1">
      <c r="A46" s="375" t="s">
        <v>607</v>
      </c>
      <c r="B46" s="375" t="str">
        <f t="shared" si="0"/>
        <v>DIJON</v>
      </c>
      <c r="C46" s="375" t="str">
        <f t="shared" si="14"/>
        <v xml:space="preserve"> </v>
      </c>
      <c r="D46" s="403" t="s">
        <v>175</v>
      </c>
      <c r="E46" s="391">
        <v>6</v>
      </c>
      <c r="F46" s="391">
        <v>6</v>
      </c>
      <c r="G46" s="391">
        <v>2</v>
      </c>
      <c r="H46" s="391">
        <v>2</v>
      </c>
      <c r="I46" s="391">
        <v>8</v>
      </c>
      <c r="J46" s="391">
        <v>8</v>
      </c>
      <c r="K46" s="391">
        <v>6</v>
      </c>
      <c r="L46" s="391">
        <v>5</v>
      </c>
      <c r="M46" s="391">
        <v>5</v>
      </c>
      <c r="N46" s="391">
        <v>5</v>
      </c>
      <c r="O46" s="391">
        <v>11</v>
      </c>
      <c r="P46" s="391">
        <v>10</v>
      </c>
      <c r="Q46" s="391">
        <v>7</v>
      </c>
      <c r="R46" s="391">
        <v>7</v>
      </c>
      <c r="S46" s="391">
        <v>8</v>
      </c>
      <c r="T46" s="391">
        <v>8</v>
      </c>
      <c r="U46" s="391">
        <v>15</v>
      </c>
      <c r="V46" s="391">
        <v>15</v>
      </c>
      <c r="W46" s="391">
        <v>2</v>
      </c>
      <c r="X46" s="391">
        <v>2</v>
      </c>
      <c r="Y46" s="391">
        <v>1</v>
      </c>
      <c r="Z46" s="391">
        <v>1</v>
      </c>
      <c r="AA46" s="391">
        <v>3</v>
      </c>
      <c r="AB46" s="391">
        <v>3</v>
      </c>
      <c r="AC46" s="878">
        <f t="shared" si="2"/>
        <v>21</v>
      </c>
      <c r="AD46" s="878">
        <f t="shared" si="2"/>
        <v>20</v>
      </c>
      <c r="AE46" s="878">
        <f t="shared" si="2"/>
        <v>16</v>
      </c>
      <c r="AF46" s="878">
        <f t="shared" si="2"/>
        <v>16</v>
      </c>
      <c r="AG46" s="878">
        <f t="shared" si="3"/>
        <v>37</v>
      </c>
      <c r="AH46" s="879">
        <f t="shared" si="3"/>
        <v>36</v>
      </c>
      <c r="AI46" s="1194"/>
      <c r="AJ46" s="378"/>
      <c r="AK46" s="378"/>
      <c r="AL46" s="378"/>
      <c r="AM46" s="378"/>
    </row>
    <row r="47" spans="1:39" ht="13.5" customHeight="1">
      <c r="D47" s="1545" t="s">
        <v>721</v>
      </c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  <c r="AB47" s="394"/>
      <c r="AC47" s="874"/>
      <c r="AD47" s="874"/>
      <c r="AE47" s="874"/>
      <c r="AF47" s="874"/>
      <c r="AG47" s="874"/>
      <c r="AH47" s="875"/>
      <c r="AI47" s="1194"/>
      <c r="AJ47" s="378"/>
      <c r="AK47" s="378"/>
      <c r="AL47" s="378"/>
      <c r="AM47" s="378"/>
    </row>
    <row r="48" spans="1:39" ht="13.5" customHeight="1">
      <c r="B48" s="375" t="str">
        <f t="shared" si="0"/>
        <v/>
      </c>
      <c r="C48" s="375" t="str">
        <f t="shared" si="14"/>
        <v>ach</v>
      </c>
      <c r="D48" s="399" t="s">
        <v>414</v>
      </c>
      <c r="E48" s="389">
        <f>SUM(E46)</f>
        <v>6</v>
      </c>
      <c r="F48" s="389">
        <f t="shared" ref="F48:AB48" si="16">SUM(F46)</f>
        <v>6</v>
      </c>
      <c r="G48" s="389">
        <f t="shared" si="16"/>
        <v>2</v>
      </c>
      <c r="H48" s="389">
        <f t="shared" si="16"/>
        <v>2</v>
      </c>
      <c r="I48" s="389">
        <f t="shared" si="16"/>
        <v>8</v>
      </c>
      <c r="J48" s="389">
        <f t="shared" si="16"/>
        <v>8</v>
      </c>
      <c r="K48" s="389">
        <f t="shared" si="16"/>
        <v>6</v>
      </c>
      <c r="L48" s="389">
        <f t="shared" si="16"/>
        <v>5</v>
      </c>
      <c r="M48" s="389">
        <f t="shared" si="16"/>
        <v>5</v>
      </c>
      <c r="N48" s="389">
        <f t="shared" si="16"/>
        <v>5</v>
      </c>
      <c r="O48" s="389">
        <f t="shared" si="16"/>
        <v>11</v>
      </c>
      <c r="P48" s="389">
        <f t="shared" si="16"/>
        <v>10</v>
      </c>
      <c r="Q48" s="389">
        <f t="shared" si="16"/>
        <v>7</v>
      </c>
      <c r="R48" s="389">
        <f t="shared" si="16"/>
        <v>7</v>
      </c>
      <c r="S48" s="389">
        <f t="shared" si="16"/>
        <v>8</v>
      </c>
      <c r="T48" s="389">
        <f t="shared" si="16"/>
        <v>8</v>
      </c>
      <c r="U48" s="389">
        <f t="shared" si="16"/>
        <v>15</v>
      </c>
      <c r="V48" s="389">
        <f t="shared" si="16"/>
        <v>15</v>
      </c>
      <c r="W48" s="389">
        <f t="shared" si="16"/>
        <v>2</v>
      </c>
      <c r="X48" s="389">
        <f t="shared" si="16"/>
        <v>2</v>
      </c>
      <c r="Y48" s="389">
        <f t="shared" si="16"/>
        <v>1</v>
      </c>
      <c r="Z48" s="389">
        <f t="shared" si="16"/>
        <v>1</v>
      </c>
      <c r="AA48" s="389">
        <f t="shared" si="16"/>
        <v>3</v>
      </c>
      <c r="AB48" s="389">
        <f t="shared" si="16"/>
        <v>3</v>
      </c>
      <c r="AC48" s="872">
        <f t="shared" si="2"/>
        <v>21</v>
      </c>
      <c r="AD48" s="872">
        <f t="shared" si="2"/>
        <v>20</v>
      </c>
      <c r="AE48" s="872">
        <f t="shared" si="2"/>
        <v>16</v>
      </c>
      <c r="AF48" s="872">
        <f t="shared" si="2"/>
        <v>16</v>
      </c>
      <c r="AG48" s="872">
        <f t="shared" si="3"/>
        <v>37</v>
      </c>
      <c r="AH48" s="873">
        <f t="shared" si="3"/>
        <v>36</v>
      </c>
      <c r="AI48" s="1194"/>
      <c r="AJ48" s="378"/>
      <c r="AK48" s="378"/>
      <c r="AL48" s="378"/>
      <c r="AM48" s="378"/>
    </row>
    <row r="49" spans="1:39" ht="13.5" customHeight="1">
      <c r="A49" s="375" t="s">
        <v>608</v>
      </c>
      <c r="B49" s="375" t="str">
        <f t="shared" si="0"/>
        <v>GRENOBLE 1</v>
      </c>
      <c r="C49" s="375" t="str">
        <f t="shared" si="14"/>
        <v xml:space="preserve"> </v>
      </c>
      <c r="D49" s="396" t="s">
        <v>415</v>
      </c>
      <c r="E49" s="390"/>
      <c r="F49" s="390"/>
      <c r="G49" s="390"/>
      <c r="H49" s="390"/>
      <c r="I49" s="390"/>
      <c r="J49" s="390">
        <v>0</v>
      </c>
      <c r="K49" s="390">
        <v>3</v>
      </c>
      <c r="L49" s="390">
        <v>3</v>
      </c>
      <c r="M49" s="390"/>
      <c r="N49" s="390"/>
      <c r="O49" s="390">
        <v>3</v>
      </c>
      <c r="P49" s="390">
        <v>3</v>
      </c>
      <c r="Q49" s="390">
        <v>10</v>
      </c>
      <c r="R49" s="390">
        <v>10</v>
      </c>
      <c r="S49" s="390">
        <v>2</v>
      </c>
      <c r="T49" s="390">
        <v>2</v>
      </c>
      <c r="U49" s="390">
        <v>12</v>
      </c>
      <c r="V49" s="390">
        <v>12</v>
      </c>
      <c r="W49" s="390"/>
      <c r="X49" s="390"/>
      <c r="Y49" s="390"/>
      <c r="Z49" s="390"/>
      <c r="AA49" s="390"/>
      <c r="AB49" s="390">
        <v>0</v>
      </c>
      <c r="AC49" s="866">
        <f t="shared" si="2"/>
        <v>13</v>
      </c>
      <c r="AD49" s="866">
        <f t="shared" si="2"/>
        <v>13</v>
      </c>
      <c r="AE49" s="866">
        <f t="shared" si="2"/>
        <v>2</v>
      </c>
      <c r="AF49" s="866">
        <f t="shared" si="2"/>
        <v>2</v>
      </c>
      <c r="AG49" s="866">
        <f t="shared" si="3"/>
        <v>15</v>
      </c>
      <c r="AH49" s="867">
        <f t="shared" si="3"/>
        <v>15</v>
      </c>
      <c r="AI49" s="1194"/>
      <c r="AJ49" s="378"/>
      <c r="AK49" s="378"/>
      <c r="AL49" s="378"/>
      <c r="AM49" s="378"/>
    </row>
    <row r="50" spans="1:39" ht="13.5" customHeight="1">
      <c r="A50" s="375" t="s">
        <v>609</v>
      </c>
      <c r="B50" s="375" t="str">
        <f t="shared" si="0"/>
        <v>GRENOBLE 2</v>
      </c>
      <c r="C50" s="375" t="str">
        <f t="shared" si="14"/>
        <v xml:space="preserve"> </v>
      </c>
      <c r="D50" s="397" t="s">
        <v>416</v>
      </c>
      <c r="E50" s="393">
        <v>9</v>
      </c>
      <c r="F50" s="393">
        <v>9</v>
      </c>
      <c r="G50" s="393">
        <v>4</v>
      </c>
      <c r="H50" s="393">
        <v>3</v>
      </c>
      <c r="I50" s="393">
        <v>13</v>
      </c>
      <c r="J50" s="393">
        <v>12</v>
      </c>
      <c r="K50" s="393">
        <v>5</v>
      </c>
      <c r="L50" s="393">
        <v>5</v>
      </c>
      <c r="M50" s="393">
        <v>2</v>
      </c>
      <c r="N50" s="393">
        <v>1</v>
      </c>
      <c r="O50" s="393">
        <v>7</v>
      </c>
      <c r="P50" s="393">
        <v>6</v>
      </c>
      <c r="Q50" s="393"/>
      <c r="R50" s="393"/>
      <c r="S50" s="393">
        <v>1</v>
      </c>
      <c r="T50" s="393">
        <v>1</v>
      </c>
      <c r="U50" s="393">
        <v>1</v>
      </c>
      <c r="V50" s="393">
        <v>1</v>
      </c>
      <c r="W50" s="393"/>
      <c r="X50" s="393"/>
      <c r="Y50" s="393"/>
      <c r="Z50" s="393"/>
      <c r="AA50" s="393"/>
      <c r="AB50" s="393">
        <v>0</v>
      </c>
      <c r="AC50" s="868">
        <f t="shared" si="2"/>
        <v>14</v>
      </c>
      <c r="AD50" s="868">
        <f t="shared" si="2"/>
        <v>14</v>
      </c>
      <c r="AE50" s="868">
        <f t="shared" si="2"/>
        <v>7</v>
      </c>
      <c r="AF50" s="868">
        <f t="shared" si="2"/>
        <v>5</v>
      </c>
      <c r="AG50" s="868">
        <f t="shared" si="3"/>
        <v>21</v>
      </c>
      <c r="AH50" s="869">
        <f t="shared" si="3"/>
        <v>19</v>
      </c>
      <c r="AI50" s="1194"/>
      <c r="AJ50" s="378"/>
      <c r="AK50" s="378"/>
      <c r="AL50" s="378"/>
      <c r="AM50" s="378"/>
    </row>
    <row r="51" spans="1:39" ht="13.5" customHeight="1">
      <c r="A51" s="375" t="s">
        <v>610</v>
      </c>
      <c r="B51" s="375" t="str">
        <f t="shared" si="0"/>
        <v>GRENOBLE 3</v>
      </c>
      <c r="C51" s="375" t="str">
        <f t="shared" si="14"/>
        <v xml:space="preserve"> </v>
      </c>
      <c r="D51" s="397" t="s">
        <v>417</v>
      </c>
      <c r="E51" s="393"/>
      <c r="F51" s="393"/>
      <c r="G51" s="393"/>
      <c r="H51" s="393"/>
      <c r="I51" s="393"/>
      <c r="J51" s="393">
        <v>0</v>
      </c>
      <c r="K51" s="393">
        <v>11</v>
      </c>
      <c r="L51" s="393">
        <v>11</v>
      </c>
      <c r="M51" s="393">
        <v>12</v>
      </c>
      <c r="N51" s="393">
        <v>9</v>
      </c>
      <c r="O51" s="393">
        <v>23</v>
      </c>
      <c r="P51" s="393">
        <v>20</v>
      </c>
      <c r="Q51" s="393"/>
      <c r="R51" s="393"/>
      <c r="S51" s="393"/>
      <c r="T51" s="393"/>
      <c r="U51" s="393"/>
      <c r="V51" s="393">
        <v>0</v>
      </c>
      <c r="W51" s="393"/>
      <c r="X51" s="393"/>
      <c r="Y51" s="393"/>
      <c r="Z51" s="393"/>
      <c r="AA51" s="393"/>
      <c r="AB51" s="393">
        <v>0</v>
      </c>
      <c r="AC51" s="868">
        <f t="shared" si="2"/>
        <v>11</v>
      </c>
      <c r="AD51" s="868">
        <f t="shared" si="2"/>
        <v>11</v>
      </c>
      <c r="AE51" s="868">
        <f t="shared" si="2"/>
        <v>12</v>
      </c>
      <c r="AF51" s="868">
        <f t="shared" si="2"/>
        <v>9</v>
      </c>
      <c r="AG51" s="868">
        <f t="shared" si="3"/>
        <v>23</v>
      </c>
      <c r="AH51" s="869">
        <f t="shared" si="3"/>
        <v>20</v>
      </c>
      <c r="AI51" s="1194"/>
      <c r="AJ51" s="378"/>
      <c r="AK51" s="378"/>
      <c r="AL51" s="378"/>
      <c r="AM51" s="378"/>
    </row>
    <row r="52" spans="1:39" ht="13.5" customHeight="1">
      <c r="A52" s="375" t="s">
        <v>611</v>
      </c>
      <c r="B52" s="375" t="str">
        <f t="shared" si="0"/>
        <v>GRENOBLE IP</v>
      </c>
      <c r="C52" s="375" t="str">
        <f t="shared" si="14"/>
        <v xml:space="preserve"> </v>
      </c>
      <c r="D52" s="397" t="s">
        <v>579</v>
      </c>
      <c r="E52" s="393"/>
      <c r="F52" s="393"/>
      <c r="G52" s="393"/>
      <c r="H52" s="393"/>
      <c r="I52" s="393"/>
      <c r="J52" s="393">
        <v>0</v>
      </c>
      <c r="K52" s="393"/>
      <c r="L52" s="393"/>
      <c r="M52" s="393"/>
      <c r="N52" s="393"/>
      <c r="O52" s="393"/>
      <c r="P52" s="393">
        <v>0</v>
      </c>
      <c r="Q52" s="393">
        <v>6</v>
      </c>
      <c r="R52" s="393">
        <v>6</v>
      </c>
      <c r="S52" s="393">
        <v>1</v>
      </c>
      <c r="T52" s="393">
        <v>1</v>
      </c>
      <c r="U52" s="393">
        <v>7</v>
      </c>
      <c r="V52" s="393">
        <v>7</v>
      </c>
      <c r="W52" s="393"/>
      <c r="X52" s="393"/>
      <c r="Y52" s="393"/>
      <c r="Z52" s="393"/>
      <c r="AA52" s="393"/>
      <c r="AB52" s="393">
        <v>0</v>
      </c>
      <c r="AC52" s="868">
        <f t="shared" si="2"/>
        <v>6</v>
      </c>
      <c r="AD52" s="868">
        <f t="shared" si="2"/>
        <v>6</v>
      </c>
      <c r="AE52" s="868">
        <f t="shared" si="2"/>
        <v>1</v>
      </c>
      <c r="AF52" s="868">
        <f t="shared" si="2"/>
        <v>1</v>
      </c>
      <c r="AG52" s="868">
        <f t="shared" si="3"/>
        <v>7</v>
      </c>
      <c r="AH52" s="869">
        <f t="shared" si="3"/>
        <v>7</v>
      </c>
      <c r="AI52" s="1194"/>
      <c r="AJ52" s="378"/>
      <c r="AK52" s="378"/>
      <c r="AL52" s="378"/>
      <c r="AM52" s="378"/>
    </row>
    <row r="53" spans="1:39" ht="13.5" customHeight="1">
      <c r="A53" s="375" t="s">
        <v>612</v>
      </c>
      <c r="B53" s="375" t="str">
        <f t="shared" si="0"/>
        <v>CHAMBERY</v>
      </c>
      <c r="C53" s="375" t="str">
        <f t="shared" si="14"/>
        <v xml:space="preserve"> </v>
      </c>
      <c r="D53" s="397" t="s">
        <v>418</v>
      </c>
      <c r="E53" s="393">
        <v>7</v>
      </c>
      <c r="F53" s="393">
        <v>6</v>
      </c>
      <c r="G53" s="393"/>
      <c r="H53" s="393"/>
      <c r="I53" s="393">
        <v>7</v>
      </c>
      <c r="J53" s="393">
        <v>6</v>
      </c>
      <c r="K53" s="393">
        <v>4</v>
      </c>
      <c r="L53" s="393">
        <v>4</v>
      </c>
      <c r="M53" s="393">
        <v>4</v>
      </c>
      <c r="N53" s="393">
        <v>2</v>
      </c>
      <c r="O53" s="393">
        <v>8</v>
      </c>
      <c r="P53" s="393">
        <v>6</v>
      </c>
      <c r="Q53" s="393">
        <v>5</v>
      </c>
      <c r="R53" s="393">
        <v>5</v>
      </c>
      <c r="S53" s="393">
        <v>3</v>
      </c>
      <c r="T53" s="393">
        <v>3</v>
      </c>
      <c r="U53" s="393">
        <v>8</v>
      </c>
      <c r="V53" s="393">
        <v>7</v>
      </c>
      <c r="W53" s="393"/>
      <c r="X53" s="393"/>
      <c r="Y53" s="393"/>
      <c r="Z53" s="393"/>
      <c r="AA53" s="393"/>
      <c r="AB53" s="393">
        <v>0</v>
      </c>
      <c r="AC53" s="868">
        <f t="shared" si="2"/>
        <v>16</v>
      </c>
      <c r="AD53" s="868">
        <f t="shared" si="2"/>
        <v>15</v>
      </c>
      <c r="AE53" s="868">
        <f t="shared" si="2"/>
        <v>7</v>
      </c>
      <c r="AF53" s="868">
        <f t="shared" si="2"/>
        <v>5</v>
      </c>
      <c r="AG53" s="868">
        <f t="shared" si="3"/>
        <v>23</v>
      </c>
      <c r="AH53" s="869">
        <f t="shared" si="3"/>
        <v>20</v>
      </c>
      <c r="AI53" s="1194"/>
      <c r="AJ53" s="378"/>
      <c r="AK53" s="378"/>
      <c r="AL53" s="378"/>
      <c r="AM53" s="378"/>
    </row>
    <row r="54" spans="1:39" ht="13.5" customHeight="1">
      <c r="A54" s="375" t="s">
        <v>613</v>
      </c>
      <c r="B54" s="375" t="str">
        <f t="shared" si="0"/>
        <v>GRENOBLE IEP</v>
      </c>
      <c r="C54" s="375" t="str">
        <f t="shared" si="14"/>
        <v xml:space="preserve"> </v>
      </c>
      <c r="D54" s="398" t="s">
        <v>419</v>
      </c>
      <c r="E54" s="381"/>
      <c r="F54" s="381"/>
      <c r="G54" s="381"/>
      <c r="H54" s="381"/>
      <c r="I54" s="381"/>
      <c r="J54" s="381">
        <v>0</v>
      </c>
      <c r="K54" s="381">
        <v>2</v>
      </c>
      <c r="L54" s="381">
        <v>2</v>
      </c>
      <c r="M54" s="381"/>
      <c r="N54" s="381"/>
      <c r="O54" s="381">
        <v>2</v>
      </c>
      <c r="P54" s="381">
        <v>2</v>
      </c>
      <c r="Q54" s="381"/>
      <c r="R54" s="381"/>
      <c r="S54" s="381"/>
      <c r="T54" s="381"/>
      <c r="U54" s="381"/>
      <c r="V54" s="381">
        <v>0</v>
      </c>
      <c r="W54" s="381"/>
      <c r="X54" s="381"/>
      <c r="Y54" s="381"/>
      <c r="Z54" s="381"/>
      <c r="AA54" s="381"/>
      <c r="AB54" s="381">
        <v>0</v>
      </c>
      <c r="AC54" s="870">
        <f t="shared" si="2"/>
        <v>2</v>
      </c>
      <c r="AD54" s="870">
        <f t="shared" si="2"/>
        <v>2</v>
      </c>
      <c r="AE54" s="870">
        <f t="shared" si="2"/>
        <v>0</v>
      </c>
      <c r="AF54" s="870">
        <f t="shared" si="2"/>
        <v>0</v>
      </c>
      <c r="AG54" s="870">
        <f t="shared" si="3"/>
        <v>2</v>
      </c>
      <c r="AH54" s="871">
        <f t="shared" si="3"/>
        <v>2</v>
      </c>
      <c r="AI54" s="1194"/>
      <c r="AJ54" s="378"/>
      <c r="AK54" s="378"/>
      <c r="AL54" s="378"/>
      <c r="AM54" s="378"/>
    </row>
    <row r="55" spans="1:39" ht="13.5" customHeight="1">
      <c r="B55" s="375" t="str">
        <f t="shared" si="0"/>
        <v/>
      </c>
      <c r="C55" s="375" t="str">
        <f t="shared" si="14"/>
        <v>ach</v>
      </c>
      <c r="D55" s="399" t="s">
        <v>420</v>
      </c>
      <c r="E55" s="389">
        <f>SUM(E49:E54)</f>
        <v>16</v>
      </c>
      <c r="F55" s="389">
        <f t="shared" ref="F55:AH55" si="17">SUM(F49:F54)</f>
        <v>15</v>
      </c>
      <c r="G55" s="389">
        <f t="shared" si="17"/>
        <v>4</v>
      </c>
      <c r="H55" s="389">
        <f t="shared" si="17"/>
        <v>3</v>
      </c>
      <c r="I55" s="389">
        <f t="shared" si="17"/>
        <v>20</v>
      </c>
      <c r="J55" s="389">
        <f t="shared" si="17"/>
        <v>18</v>
      </c>
      <c r="K55" s="389">
        <f t="shared" si="17"/>
        <v>25</v>
      </c>
      <c r="L55" s="389">
        <f t="shared" si="17"/>
        <v>25</v>
      </c>
      <c r="M55" s="389">
        <f t="shared" si="17"/>
        <v>18</v>
      </c>
      <c r="N55" s="389">
        <f t="shared" si="17"/>
        <v>12</v>
      </c>
      <c r="O55" s="389">
        <f t="shared" si="17"/>
        <v>43</v>
      </c>
      <c r="P55" s="389">
        <f t="shared" si="17"/>
        <v>37</v>
      </c>
      <c r="Q55" s="389">
        <f t="shared" si="17"/>
        <v>21</v>
      </c>
      <c r="R55" s="389">
        <f t="shared" si="17"/>
        <v>21</v>
      </c>
      <c r="S55" s="389">
        <f t="shared" si="17"/>
        <v>7</v>
      </c>
      <c r="T55" s="389">
        <f t="shared" si="17"/>
        <v>7</v>
      </c>
      <c r="U55" s="389">
        <f t="shared" si="17"/>
        <v>28</v>
      </c>
      <c r="V55" s="389">
        <f t="shared" si="17"/>
        <v>27</v>
      </c>
      <c r="W55" s="389">
        <f t="shared" si="17"/>
        <v>0</v>
      </c>
      <c r="X55" s="389">
        <f t="shared" si="17"/>
        <v>0</v>
      </c>
      <c r="Y55" s="389">
        <f t="shared" si="17"/>
        <v>0</v>
      </c>
      <c r="Z55" s="389">
        <f t="shared" si="17"/>
        <v>0</v>
      </c>
      <c r="AA55" s="389">
        <f t="shared" si="17"/>
        <v>0</v>
      </c>
      <c r="AB55" s="389">
        <f t="shared" si="17"/>
        <v>0</v>
      </c>
      <c r="AC55" s="389">
        <f t="shared" si="17"/>
        <v>62</v>
      </c>
      <c r="AD55" s="389">
        <f t="shared" si="17"/>
        <v>61</v>
      </c>
      <c r="AE55" s="389">
        <f t="shared" si="17"/>
        <v>29</v>
      </c>
      <c r="AF55" s="389">
        <f t="shared" si="17"/>
        <v>22</v>
      </c>
      <c r="AG55" s="389">
        <f t="shared" si="17"/>
        <v>91</v>
      </c>
      <c r="AH55" s="1179">
        <f t="shared" si="17"/>
        <v>83</v>
      </c>
      <c r="AI55" s="1194"/>
      <c r="AJ55" s="378"/>
      <c r="AK55" s="378"/>
      <c r="AL55" s="378"/>
      <c r="AM55" s="378"/>
    </row>
    <row r="56" spans="1:39" ht="13.5" customHeight="1">
      <c r="A56" s="375" t="s">
        <v>614</v>
      </c>
      <c r="B56" s="375" t="str">
        <f t="shared" si="0"/>
        <v>LA REUNION</v>
      </c>
      <c r="C56" s="375" t="str">
        <f t="shared" si="14"/>
        <v xml:space="preserve"> </v>
      </c>
      <c r="D56" s="402" t="s">
        <v>199</v>
      </c>
      <c r="E56" s="382"/>
      <c r="F56" s="382"/>
      <c r="G56" s="382"/>
      <c r="H56" s="382"/>
      <c r="I56" s="382"/>
      <c r="J56" s="382">
        <v>0</v>
      </c>
      <c r="K56" s="382">
        <v>7</v>
      </c>
      <c r="L56" s="382">
        <v>5</v>
      </c>
      <c r="M56" s="382">
        <v>3</v>
      </c>
      <c r="N56" s="382">
        <v>2</v>
      </c>
      <c r="O56" s="382">
        <v>10</v>
      </c>
      <c r="P56" s="382">
        <v>7</v>
      </c>
      <c r="Q56" s="382">
        <v>5</v>
      </c>
      <c r="R56" s="382">
        <v>3</v>
      </c>
      <c r="S56" s="382">
        <v>1</v>
      </c>
      <c r="T56" s="382">
        <v>1</v>
      </c>
      <c r="U56" s="382">
        <v>6</v>
      </c>
      <c r="V56" s="382">
        <v>4</v>
      </c>
      <c r="W56" s="382"/>
      <c r="X56" s="382"/>
      <c r="Y56" s="382"/>
      <c r="Z56" s="382"/>
      <c r="AA56" s="382"/>
      <c r="AB56" s="382">
        <v>0</v>
      </c>
      <c r="AC56" s="872">
        <f t="shared" si="2"/>
        <v>12</v>
      </c>
      <c r="AD56" s="872">
        <f t="shared" si="2"/>
        <v>8</v>
      </c>
      <c r="AE56" s="872">
        <f t="shared" si="2"/>
        <v>4</v>
      </c>
      <c r="AF56" s="872">
        <f t="shared" si="2"/>
        <v>3</v>
      </c>
      <c r="AG56" s="872">
        <f t="shared" si="3"/>
        <v>16</v>
      </c>
      <c r="AH56" s="873">
        <f t="shared" si="3"/>
        <v>11</v>
      </c>
      <c r="AI56" s="1194"/>
      <c r="AJ56" s="378"/>
      <c r="AK56" s="378"/>
      <c r="AL56" s="378"/>
      <c r="AM56" s="378"/>
    </row>
    <row r="57" spans="1:39" ht="13.5" customHeight="1">
      <c r="C57" s="375" t="str">
        <f t="shared" si="14"/>
        <v>ach</v>
      </c>
      <c r="D57" s="399" t="s">
        <v>421</v>
      </c>
      <c r="E57" s="389">
        <f>SUM(E56)</f>
        <v>0</v>
      </c>
      <c r="F57" s="389">
        <f t="shared" ref="F57:AB57" si="18">SUM(F56)</f>
        <v>0</v>
      </c>
      <c r="G57" s="389">
        <f t="shared" si="18"/>
        <v>0</v>
      </c>
      <c r="H57" s="389">
        <f t="shared" si="18"/>
        <v>0</v>
      </c>
      <c r="I57" s="389">
        <f t="shared" si="18"/>
        <v>0</v>
      </c>
      <c r="J57" s="389">
        <f t="shared" si="18"/>
        <v>0</v>
      </c>
      <c r="K57" s="389">
        <f t="shared" si="18"/>
        <v>7</v>
      </c>
      <c r="L57" s="389">
        <f t="shared" si="18"/>
        <v>5</v>
      </c>
      <c r="M57" s="389">
        <f t="shared" si="18"/>
        <v>3</v>
      </c>
      <c r="N57" s="389">
        <f t="shared" si="18"/>
        <v>2</v>
      </c>
      <c r="O57" s="389">
        <f t="shared" si="18"/>
        <v>10</v>
      </c>
      <c r="P57" s="389">
        <f t="shared" si="18"/>
        <v>7</v>
      </c>
      <c r="Q57" s="389">
        <f t="shared" si="18"/>
        <v>5</v>
      </c>
      <c r="R57" s="389">
        <f t="shared" si="18"/>
        <v>3</v>
      </c>
      <c r="S57" s="389">
        <f t="shared" si="18"/>
        <v>1</v>
      </c>
      <c r="T57" s="389">
        <f t="shared" si="18"/>
        <v>1</v>
      </c>
      <c r="U57" s="389">
        <f t="shared" si="18"/>
        <v>6</v>
      </c>
      <c r="V57" s="389">
        <f t="shared" si="18"/>
        <v>4</v>
      </c>
      <c r="W57" s="389">
        <f t="shared" si="18"/>
        <v>0</v>
      </c>
      <c r="X57" s="389">
        <f t="shared" si="18"/>
        <v>0</v>
      </c>
      <c r="Y57" s="389">
        <f t="shared" si="18"/>
        <v>0</v>
      </c>
      <c r="Z57" s="389">
        <f t="shared" si="18"/>
        <v>0</v>
      </c>
      <c r="AA57" s="389">
        <f t="shared" si="18"/>
        <v>0</v>
      </c>
      <c r="AB57" s="389">
        <f t="shared" si="18"/>
        <v>0</v>
      </c>
      <c r="AC57" s="389">
        <f t="shared" ref="AC57:AH57" si="19">SUM(AC56)</f>
        <v>12</v>
      </c>
      <c r="AD57" s="389">
        <f t="shared" si="19"/>
        <v>8</v>
      </c>
      <c r="AE57" s="389">
        <f t="shared" si="19"/>
        <v>4</v>
      </c>
      <c r="AF57" s="389">
        <f t="shared" si="19"/>
        <v>3</v>
      </c>
      <c r="AG57" s="389">
        <f t="shared" si="19"/>
        <v>16</v>
      </c>
      <c r="AH57" s="1179">
        <f t="shared" si="19"/>
        <v>11</v>
      </c>
      <c r="AI57" s="1194"/>
      <c r="AJ57" s="378"/>
      <c r="AK57" s="378"/>
      <c r="AL57" s="378"/>
      <c r="AM57" s="378"/>
    </row>
    <row r="58" spans="1:39" ht="13.5" customHeight="1">
      <c r="A58" s="375" t="s">
        <v>615</v>
      </c>
      <c r="B58" s="375" t="str">
        <f t="shared" si="0"/>
        <v>LILLE 1</v>
      </c>
      <c r="C58" s="375" t="str">
        <f t="shared" si="14"/>
        <v xml:space="preserve"> </v>
      </c>
      <c r="D58" s="403" t="s">
        <v>422</v>
      </c>
      <c r="E58" s="391">
        <v>3</v>
      </c>
      <c r="F58" s="391">
        <v>3</v>
      </c>
      <c r="G58" s="391"/>
      <c r="H58" s="391"/>
      <c r="I58" s="391">
        <v>3</v>
      </c>
      <c r="J58" s="391">
        <v>3</v>
      </c>
      <c r="K58" s="391">
        <v>1</v>
      </c>
      <c r="L58" s="391">
        <v>1</v>
      </c>
      <c r="M58" s="391">
        <v>4</v>
      </c>
      <c r="N58" s="391">
        <v>4</v>
      </c>
      <c r="O58" s="391">
        <v>5</v>
      </c>
      <c r="P58" s="391">
        <v>5</v>
      </c>
      <c r="Q58" s="391">
        <v>12</v>
      </c>
      <c r="R58" s="391">
        <v>11</v>
      </c>
      <c r="S58" s="391">
        <v>10</v>
      </c>
      <c r="T58" s="391">
        <v>10</v>
      </c>
      <c r="U58" s="391">
        <v>22</v>
      </c>
      <c r="V58" s="391">
        <v>21</v>
      </c>
      <c r="W58" s="391"/>
      <c r="X58" s="391"/>
      <c r="Y58" s="391"/>
      <c r="Z58" s="391"/>
      <c r="AA58" s="391"/>
      <c r="AB58" s="391">
        <v>0</v>
      </c>
      <c r="AC58" s="878">
        <f t="shared" si="2"/>
        <v>16</v>
      </c>
      <c r="AD58" s="878">
        <f t="shared" si="2"/>
        <v>15</v>
      </c>
      <c r="AE58" s="878">
        <f t="shared" si="2"/>
        <v>14</v>
      </c>
      <c r="AF58" s="878">
        <f t="shared" si="2"/>
        <v>14</v>
      </c>
      <c r="AG58" s="878">
        <f t="shared" si="3"/>
        <v>30</v>
      </c>
      <c r="AH58" s="879">
        <f t="shared" si="3"/>
        <v>29</v>
      </c>
      <c r="AI58" s="1194"/>
      <c r="AJ58" s="378"/>
      <c r="AK58" s="378"/>
      <c r="AL58" s="378"/>
      <c r="AM58" s="378"/>
    </row>
    <row r="59" spans="1:39" ht="13.5" customHeight="1">
      <c r="A59" s="375" t="s">
        <v>616</v>
      </c>
      <c r="B59" s="375" t="str">
        <f t="shared" si="0"/>
        <v>LILLE 2</v>
      </c>
      <c r="C59" s="375" t="str">
        <f t="shared" si="14"/>
        <v xml:space="preserve"> </v>
      </c>
      <c r="D59" s="397" t="s">
        <v>423</v>
      </c>
      <c r="E59" s="393">
        <v>2</v>
      </c>
      <c r="F59" s="393">
        <v>2</v>
      </c>
      <c r="G59" s="393">
        <v>2</v>
      </c>
      <c r="H59" s="393">
        <v>2</v>
      </c>
      <c r="I59" s="393">
        <v>4</v>
      </c>
      <c r="J59" s="393">
        <v>3</v>
      </c>
      <c r="K59" s="393"/>
      <c r="L59" s="393"/>
      <c r="M59" s="393">
        <v>1</v>
      </c>
      <c r="N59" s="393"/>
      <c r="O59" s="393">
        <v>1</v>
      </c>
      <c r="P59" s="393">
        <v>0</v>
      </c>
      <c r="Q59" s="393"/>
      <c r="R59" s="393"/>
      <c r="S59" s="393"/>
      <c r="T59" s="393"/>
      <c r="U59" s="393"/>
      <c r="V59" s="393">
        <v>0</v>
      </c>
      <c r="W59" s="393">
        <v>4</v>
      </c>
      <c r="X59" s="393">
        <v>4</v>
      </c>
      <c r="Y59" s="393">
        <v>2</v>
      </c>
      <c r="Z59" s="393">
        <v>2</v>
      </c>
      <c r="AA59" s="393">
        <v>6</v>
      </c>
      <c r="AB59" s="393">
        <v>6</v>
      </c>
      <c r="AC59" s="868">
        <f t="shared" si="2"/>
        <v>6</v>
      </c>
      <c r="AD59" s="868">
        <f t="shared" si="2"/>
        <v>6</v>
      </c>
      <c r="AE59" s="868">
        <f t="shared" si="2"/>
        <v>5</v>
      </c>
      <c r="AF59" s="868">
        <f t="shared" si="2"/>
        <v>4</v>
      </c>
      <c r="AG59" s="868">
        <f t="shared" si="3"/>
        <v>11</v>
      </c>
      <c r="AH59" s="869">
        <f t="shared" si="3"/>
        <v>10</v>
      </c>
      <c r="AI59" s="1194"/>
      <c r="AJ59" s="378"/>
      <c r="AK59" s="378"/>
      <c r="AL59" s="378"/>
      <c r="AM59" s="378"/>
    </row>
    <row r="60" spans="1:39" ht="13.5" customHeight="1">
      <c r="A60" s="375" t="s">
        <v>617</v>
      </c>
      <c r="B60" s="375" t="str">
        <f t="shared" si="0"/>
        <v>LILLE 3</v>
      </c>
      <c r="C60" s="375" t="str">
        <f t="shared" si="14"/>
        <v xml:space="preserve"> </v>
      </c>
      <c r="D60" s="397" t="s">
        <v>424</v>
      </c>
      <c r="E60" s="393">
        <v>2</v>
      </c>
      <c r="F60" s="393">
        <v>2</v>
      </c>
      <c r="G60" s="393"/>
      <c r="H60" s="393"/>
      <c r="I60" s="393">
        <v>2</v>
      </c>
      <c r="J60" s="393">
        <v>2</v>
      </c>
      <c r="K60" s="393">
        <v>17</v>
      </c>
      <c r="L60" s="393">
        <v>17</v>
      </c>
      <c r="M60" s="393">
        <v>13</v>
      </c>
      <c r="N60" s="393">
        <v>10</v>
      </c>
      <c r="O60" s="393">
        <v>30</v>
      </c>
      <c r="P60" s="393">
        <v>27</v>
      </c>
      <c r="Q60" s="393">
        <v>1</v>
      </c>
      <c r="R60" s="393">
        <v>1</v>
      </c>
      <c r="S60" s="393"/>
      <c r="T60" s="393"/>
      <c r="U60" s="393">
        <v>1</v>
      </c>
      <c r="V60" s="393">
        <v>1</v>
      </c>
      <c r="W60" s="393"/>
      <c r="X60" s="393"/>
      <c r="Y60" s="393"/>
      <c r="Z60" s="393"/>
      <c r="AA60" s="393"/>
      <c r="AB60" s="393">
        <v>0</v>
      </c>
      <c r="AC60" s="868">
        <f t="shared" si="2"/>
        <v>20</v>
      </c>
      <c r="AD60" s="868">
        <f t="shared" si="2"/>
        <v>20</v>
      </c>
      <c r="AE60" s="868">
        <f t="shared" si="2"/>
        <v>13</v>
      </c>
      <c r="AF60" s="868">
        <f t="shared" si="2"/>
        <v>10</v>
      </c>
      <c r="AG60" s="868">
        <f t="shared" si="3"/>
        <v>33</v>
      </c>
      <c r="AH60" s="869">
        <f t="shared" si="3"/>
        <v>30</v>
      </c>
      <c r="AI60" s="1194"/>
      <c r="AJ60" s="378"/>
      <c r="AK60" s="378"/>
      <c r="AL60" s="378"/>
      <c r="AM60" s="378"/>
    </row>
    <row r="61" spans="1:39" ht="13.5" customHeight="1">
      <c r="A61" s="375" t="s">
        <v>618</v>
      </c>
      <c r="B61" s="375" t="str">
        <f t="shared" si="0"/>
        <v>ARTOIS</v>
      </c>
      <c r="C61" s="375" t="str">
        <f t="shared" si="14"/>
        <v xml:space="preserve"> </v>
      </c>
      <c r="D61" s="397" t="s">
        <v>425</v>
      </c>
      <c r="E61" s="393">
        <v>1</v>
      </c>
      <c r="F61" s="393">
        <v>1</v>
      </c>
      <c r="G61" s="393">
        <v>1</v>
      </c>
      <c r="H61" s="393"/>
      <c r="I61" s="393">
        <v>2</v>
      </c>
      <c r="J61" s="393">
        <v>1</v>
      </c>
      <c r="K61" s="393">
        <v>7</v>
      </c>
      <c r="L61" s="393">
        <v>7</v>
      </c>
      <c r="M61" s="393">
        <v>4</v>
      </c>
      <c r="N61" s="393">
        <v>3</v>
      </c>
      <c r="O61" s="393">
        <v>11</v>
      </c>
      <c r="P61" s="393">
        <v>10</v>
      </c>
      <c r="Q61" s="393">
        <v>4</v>
      </c>
      <c r="R61" s="393">
        <v>2</v>
      </c>
      <c r="S61" s="393"/>
      <c r="T61" s="393"/>
      <c r="U61" s="393">
        <v>4</v>
      </c>
      <c r="V61" s="393">
        <v>2</v>
      </c>
      <c r="W61" s="393"/>
      <c r="X61" s="393"/>
      <c r="Y61" s="393"/>
      <c r="Z61" s="393"/>
      <c r="AA61" s="393"/>
      <c r="AB61" s="393">
        <v>0</v>
      </c>
      <c r="AC61" s="868">
        <f t="shared" si="2"/>
        <v>12</v>
      </c>
      <c r="AD61" s="868">
        <f t="shared" si="2"/>
        <v>10</v>
      </c>
      <c r="AE61" s="868">
        <f t="shared" si="2"/>
        <v>5</v>
      </c>
      <c r="AF61" s="868">
        <f t="shared" si="2"/>
        <v>3</v>
      </c>
      <c r="AG61" s="868">
        <f t="shared" si="3"/>
        <v>17</v>
      </c>
      <c r="AH61" s="869">
        <f t="shared" si="3"/>
        <v>13</v>
      </c>
      <c r="AI61" s="1194"/>
      <c r="AJ61" s="378"/>
      <c r="AK61" s="378"/>
      <c r="AL61" s="378"/>
      <c r="AM61" s="378"/>
    </row>
    <row r="62" spans="1:39" ht="13.5" customHeight="1">
      <c r="A62" s="375" t="s">
        <v>619</v>
      </c>
      <c r="B62" s="375" t="str">
        <f t="shared" si="0"/>
        <v>LITTORAL</v>
      </c>
      <c r="C62" s="375" t="str">
        <f t="shared" si="14"/>
        <v xml:space="preserve"> </v>
      </c>
      <c r="D62" s="397" t="s">
        <v>426</v>
      </c>
      <c r="E62" s="393">
        <v>1</v>
      </c>
      <c r="F62" s="393">
        <v>1</v>
      </c>
      <c r="G62" s="393"/>
      <c r="H62" s="393"/>
      <c r="I62" s="393">
        <v>1</v>
      </c>
      <c r="J62" s="393">
        <v>1</v>
      </c>
      <c r="K62" s="393">
        <v>1</v>
      </c>
      <c r="L62" s="393">
        <v>1</v>
      </c>
      <c r="M62" s="393">
        <v>1</v>
      </c>
      <c r="N62" s="393"/>
      <c r="O62" s="393">
        <v>2</v>
      </c>
      <c r="P62" s="393">
        <v>1</v>
      </c>
      <c r="Q62" s="393">
        <v>4</v>
      </c>
      <c r="R62" s="393">
        <v>4</v>
      </c>
      <c r="S62" s="393">
        <v>1</v>
      </c>
      <c r="T62" s="393">
        <v>1</v>
      </c>
      <c r="U62" s="393">
        <v>5</v>
      </c>
      <c r="V62" s="393">
        <v>5</v>
      </c>
      <c r="W62" s="393"/>
      <c r="X62" s="393"/>
      <c r="Y62" s="393"/>
      <c r="Z62" s="393"/>
      <c r="AA62" s="393"/>
      <c r="AB62" s="393">
        <v>0</v>
      </c>
      <c r="AC62" s="868">
        <f t="shared" si="2"/>
        <v>6</v>
      </c>
      <c r="AD62" s="868">
        <f t="shared" si="2"/>
        <v>6</v>
      </c>
      <c r="AE62" s="868">
        <f t="shared" si="2"/>
        <v>2</v>
      </c>
      <c r="AF62" s="868">
        <f t="shared" si="2"/>
        <v>1</v>
      </c>
      <c r="AG62" s="868">
        <f t="shared" si="3"/>
        <v>8</v>
      </c>
      <c r="AH62" s="869">
        <f t="shared" si="3"/>
        <v>7</v>
      </c>
      <c r="AI62" s="1194"/>
      <c r="AJ62" s="378"/>
      <c r="AK62" s="378"/>
      <c r="AL62" s="378"/>
      <c r="AM62" s="378"/>
    </row>
    <row r="63" spans="1:39" ht="13.5" customHeight="1">
      <c r="A63" s="375" t="s">
        <v>620</v>
      </c>
      <c r="B63" s="375" t="str">
        <f t="shared" si="0"/>
        <v>VALENCIENNES</v>
      </c>
      <c r="C63" s="375" t="str">
        <f t="shared" si="14"/>
        <v xml:space="preserve"> </v>
      </c>
      <c r="D63" s="397" t="s">
        <v>427</v>
      </c>
      <c r="E63" s="393">
        <v>2</v>
      </c>
      <c r="F63" s="393">
        <v>2</v>
      </c>
      <c r="G63" s="393"/>
      <c r="H63" s="393"/>
      <c r="I63" s="393">
        <v>2</v>
      </c>
      <c r="J63" s="393">
        <v>2</v>
      </c>
      <c r="K63" s="393">
        <v>5</v>
      </c>
      <c r="L63" s="393">
        <v>5</v>
      </c>
      <c r="M63" s="393">
        <v>3</v>
      </c>
      <c r="N63" s="393">
        <v>3</v>
      </c>
      <c r="O63" s="393">
        <v>8</v>
      </c>
      <c r="P63" s="393">
        <v>8</v>
      </c>
      <c r="Q63" s="393">
        <v>2</v>
      </c>
      <c r="R63" s="393">
        <v>2</v>
      </c>
      <c r="S63" s="393">
        <v>2</v>
      </c>
      <c r="T63" s="393">
        <v>2</v>
      </c>
      <c r="U63" s="393">
        <v>4</v>
      </c>
      <c r="V63" s="393">
        <v>4</v>
      </c>
      <c r="W63" s="393"/>
      <c r="X63" s="393"/>
      <c r="Y63" s="393"/>
      <c r="Z63" s="393"/>
      <c r="AA63" s="393"/>
      <c r="AB63" s="393">
        <v>0</v>
      </c>
      <c r="AC63" s="868">
        <f t="shared" si="2"/>
        <v>9</v>
      </c>
      <c r="AD63" s="868">
        <f t="shared" si="2"/>
        <v>9</v>
      </c>
      <c r="AE63" s="868">
        <f t="shared" si="2"/>
        <v>5</v>
      </c>
      <c r="AF63" s="868">
        <f t="shared" si="2"/>
        <v>5</v>
      </c>
      <c r="AG63" s="868">
        <f t="shared" si="3"/>
        <v>14</v>
      </c>
      <c r="AH63" s="869">
        <f t="shared" si="3"/>
        <v>14</v>
      </c>
      <c r="AI63" s="1194"/>
      <c r="AJ63" s="378"/>
      <c r="AK63" s="378"/>
      <c r="AL63" s="378"/>
      <c r="AM63" s="378"/>
    </row>
    <row r="64" spans="1:39" ht="13.5" customHeight="1">
      <c r="A64" s="375" t="s">
        <v>621</v>
      </c>
      <c r="B64" s="375" t="str">
        <f t="shared" si="0"/>
        <v>LILLE ECOLE CENTRALE</v>
      </c>
      <c r="C64" s="375" t="str">
        <f t="shared" si="14"/>
        <v>ach</v>
      </c>
      <c r="D64" s="397" t="s">
        <v>428</v>
      </c>
      <c r="E64" s="393"/>
      <c r="F64" s="393"/>
      <c r="G64" s="393"/>
      <c r="H64" s="393"/>
      <c r="I64" s="393"/>
      <c r="J64" s="393">
        <v>0</v>
      </c>
      <c r="K64" s="393"/>
      <c r="L64" s="393"/>
      <c r="M64" s="393"/>
      <c r="N64" s="393"/>
      <c r="O64" s="393"/>
      <c r="P64" s="393">
        <v>0</v>
      </c>
      <c r="Q64" s="393">
        <v>3</v>
      </c>
      <c r="R64" s="393">
        <v>3</v>
      </c>
      <c r="S64" s="393">
        <v>2</v>
      </c>
      <c r="T64" s="393">
        <v>2</v>
      </c>
      <c r="U64" s="393">
        <v>5</v>
      </c>
      <c r="V64" s="393">
        <v>5</v>
      </c>
      <c r="W64" s="393"/>
      <c r="X64" s="393"/>
      <c r="Y64" s="393"/>
      <c r="Z64" s="393"/>
      <c r="AA64" s="393"/>
      <c r="AB64" s="393">
        <v>0</v>
      </c>
      <c r="AC64" s="868">
        <f t="shared" si="2"/>
        <v>3</v>
      </c>
      <c r="AD64" s="868">
        <f t="shared" si="2"/>
        <v>3</v>
      </c>
      <c r="AE64" s="868">
        <f t="shared" si="2"/>
        <v>2</v>
      </c>
      <c r="AF64" s="868">
        <f t="shared" si="2"/>
        <v>2</v>
      </c>
      <c r="AG64" s="868">
        <f t="shared" si="3"/>
        <v>5</v>
      </c>
      <c r="AH64" s="869">
        <f t="shared" si="3"/>
        <v>5</v>
      </c>
      <c r="AI64" s="1194"/>
      <c r="AJ64" s="378"/>
      <c r="AK64" s="378"/>
      <c r="AL64" s="378"/>
      <c r="AM64" s="378"/>
    </row>
    <row r="65" spans="1:39" ht="13.5" customHeight="1">
      <c r="A65" s="375" t="s">
        <v>622</v>
      </c>
      <c r="B65" s="375" t="str">
        <f t="shared" si="0"/>
        <v>LILLE IEP</v>
      </c>
      <c r="C65" s="375" t="str">
        <f t="shared" si="14"/>
        <v xml:space="preserve"> </v>
      </c>
      <c r="D65" s="397" t="s">
        <v>429</v>
      </c>
      <c r="E65" s="392">
        <v>2</v>
      </c>
      <c r="F65" s="392">
        <v>2</v>
      </c>
      <c r="G65" s="392">
        <v>1</v>
      </c>
      <c r="H65" s="392">
        <v>1</v>
      </c>
      <c r="I65" s="392">
        <v>3</v>
      </c>
      <c r="J65" s="392">
        <v>2</v>
      </c>
      <c r="K65" s="392"/>
      <c r="L65" s="392"/>
      <c r="M65" s="392"/>
      <c r="N65" s="392"/>
      <c r="O65" s="392"/>
      <c r="P65" s="392">
        <v>0</v>
      </c>
      <c r="Q65" s="392"/>
      <c r="R65" s="392"/>
      <c r="S65" s="392"/>
      <c r="T65" s="392"/>
      <c r="U65" s="392"/>
      <c r="V65" s="392">
        <v>0</v>
      </c>
      <c r="W65" s="392"/>
      <c r="X65" s="392"/>
      <c r="Y65" s="392"/>
      <c r="Z65" s="392"/>
      <c r="AA65" s="392"/>
      <c r="AB65" s="392">
        <v>0</v>
      </c>
      <c r="AC65" s="868">
        <f t="shared" si="2"/>
        <v>2</v>
      </c>
      <c r="AD65" s="868">
        <f t="shared" si="2"/>
        <v>2</v>
      </c>
      <c r="AE65" s="868">
        <f t="shared" si="2"/>
        <v>1</v>
      </c>
      <c r="AF65" s="868">
        <f t="shared" si="2"/>
        <v>1</v>
      </c>
      <c r="AG65" s="868">
        <f>AC65+AE65</f>
        <v>3</v>
      </c>
      <c r="AH65" s="869">
        <f>AD65+AF65</f>
        <v>3</v>
      </c>
      <c r="AI65" s="1194"/>
      <c r="AJ65" s="378"/>
      <c r="AK65" s="378"/>
      <c r="AL65" s="378"/>
      <c r="AM65" s="378"/>
    </row>
    <row r="66" spans="1:39" ht="13.5" customHeight="1">
      <c r="A66" s="375" t="s">
        <v>623</v>
      </c>
      <c r="B66" s="375" t="str">
        <f t="shared" si="0"/>
        <v>LILLE ENS CHIMIE</v>
      </c>
      <c r="C66" s="375" t="str">
        <f t="shared" si="14"/>
        <v>ach</v>
      </c>
      <c r="D66" s="398" t="s">
        <v>563</v>
      </c>
      <c r="E66" s="381"/>
      <c r="F66" s="381"/>
      <c r="G66" s="381"/>
      <c r="H66" s="381"/>
      <c r="I66" s="381"/>
      <c r="J66" s="381">
        <v>0</v>
      </c>
      <c r="K66" s="381"/>
      <c r="L66" s="381"/>
      <c r="M66" s="381"/>
      <c r="N66" s="381"/>
      <c r="O66" s="381"/>
      <c r="P66" s="381">
        <v>0</v>
      </c>
      <c r="Q66" s="381"/>
      <c r="R66" s="381"/>
      <c r="S66" s="381">
        <v>1</v>
      </c>
      <c r="T66" s="381">
        <v>1</v>
      </c>
      <c r="U66" s="381">
        <v>1</v>
      </c>
      <c r="V66" s="381">
        <v>1</v>
      </c>
      <c r="W66" s="381"/>
      <c r="X66" s="381"/>
      <c r="Y66" s="381"/>
      <c r="Z66" s="381"/>
      <c r="AA66" s="381"/>
      <c r="AB66" s="381">
        <v>0</v>
      </c>
      <c r="AC66" s="870">
        <f t="shared" si="2"/>
        <v>0</v>
      </c>
      <c r="AD66" s="870">
        <f t="shared" si="2"/>
        <v>0</v>
      </c>
      <c r="AE66" s="870">
        <f t="shared" si="2"/>
        <v>1</v>
      </c>
      <c r="AF66" s="870">
        <f t="shared" si="2"/>
        <v>1</v>
      </c>
      <c r="AG66" s="870">
        <f t="shared" si="3"/>
        <v>1</v>
      </c>
      <c r="AH66" s="871">
        <f t="shared" si="3"/>
        <v>1</v>
      </c>
      <c r="AI66" s="1194"/>
      <c r="AJ66" s="378"/>
      <c r="AK66" s="378"/>
      <c r="AL66" s="378"/>
      <c r="AM66" s="378"/>
    </row>
    <row r="67" spans="1:39" ht="13.5" customHeight="1">
      <c r="B67" s="375" t="str">
        <f t="shared" si="0"/>
        <v/>
      </c>
      <c r="C67" s="375" t="str">
        <f t="shared" si="14"/>
        <v>ach</v>
      </c>
      <c r="D67" s="399" t="s">
        <v>430</v>
      </c>
      <c r="E67" s="389">
        <f t="shared" ref="E67:AH67" si="20">SUM(E58:E66)</f>
        <v>13</v>
      </c>
      <c r="F67" s="389">
        <f t="shared" si="20"/>
        <v>13</v>
      </c>
      <c r="G67" s="389">
        <f t="shared" si="20"/>
        <v>4</v>
      </c>
      <c r="H67" s="389">
        <f t="shared" si="20"/>
        <v>3</v>
      </c>
      <c r="I67" s="389">
        <f t="shared" si="20"/>
        <v>17</v>
      </c>
      <c r="J67" s="389">
        <f t="shared" si="20"/>
        <v>14</v>
      </c>
      <c r="K67" s="389">
        <f t="shared" si="20"/>
        <v>31</v>
      </c>
      <c r="L67" s="389">
        <f t="shared" si="20"/>
        <v>31</v>
      </c>
      <c r="M67" s="389">
        <f t="shared" si="20"/>
        <v>26</v>
      </c>
      <c r="N67" s="389">
        <f t="shared" si="20"/>
        <v>20</v>
      </c>
      <c r="O67" s="389">
        <f t="shared" si="20"/>
        <v>57</v>
      </c>
      <c r="P67" s="389">
        <f t="shared" si="20"/>
        <v>51</v>
      </c>
      <c r="Q67" s="389">
        <f t="shared" si="20"/>
        <v>26</v>
      </c>
      <c r="R67" s="389">
        <f t="shared" si="20"/>
        <v>23</v>
      </c>
      <c r="S67" s="389">
        <f t="shared" si="20"/>
        <v>16</v>
      </c>
      <c r="T67" s="389">
        <f t="shared" si="20"/>
        <v>16</v>
      </c>
      <c r="U67" s="389">
        <f t="shared" si="20"/>
        <v>42</v>
      </c>
      <c r="V67" s="389">
        <f t="shared" si="20"/>
        <v>39</v>
      </c>
      <c r="W67" s="389">
        <f t="shared" si="20"/>
        <v>4</v>
      </c>
      <c r="X67" s="389">
        <f t="shared" si="20"/>
        <v>4</v>
      </c>
      <c r="Y67" s="389">
        <f t="shared" si="20"/>
        <v>2</v>
      </c>
      <c r="Z67" s="389">
        <f t="shared" si="20"/>
        <v>2</v>
      </c>
      <c r="AA67" s="389">
        <f t="shared" si="20"/>
        <v>6</v>
      </c>
      <c r="AB67" s="389">
        <f t="shared" si="20"/>
        <v>6</v>
      </c>
      <c r="AC67" s="389">
        <f t="shared" si="20"/>
        <v>74</v>
      </c>
      <c r="AD67" s="389">
        <f t="shared" si="20"/>
        <v>71</v>
      </c>
      <c r="AE67" s="389">
        <f t="shared" si="20"/>
        <v>48</v>
      </c>
      <c r="AF67" s="389">
        <f t="shared" si="20"/>
        <v>41</v>
      </c>
      <c r="AG67" s="389">
        <f t="shared" si="20"/>
        <v>122</v>
      </c>
      <c r="AH67" s="1179">
        <f t="shared" si="20"/>
        <v>112</v>
      </c>
      <c r="AI67" s="1194"/>
      <c r="AJ67" s="378"/>
      <c r="AK67" s="378"/>
      <c r="AL67" s="378"/>
      <c r="AM67" s="378"/>
    </row>
    <row r="68" spans="1:39" ht="13.5" customHeight="1">
      <c r="A68" s="375" t="s">
        <v>624</v>
      </c>
      <c r="B68" s="375" t="str">
        <f t="shared" si="0"/>
        <v>LIMOGES</v>
      </c>
      <c r="C68" s="375" t="str">
        <f t="shared" si="14"/>
        <v xml:space="preserve"> </v>
      </c>
      <c r="D68" s="403" t="s">
        <v>178</v>
      </c>
      <c r="E68" s="391">
        <v>2</v>
      </c>
      <c r="F68" s="391">
        <v>2</v>
      </c>
      <c r="G68" s="391"/>
      <c r="H68" s="391"/>
      <c r="I68" s="391">
        <v>2</v>
      </c>
      <c r="J68" s="391">
        <v>2</v>
      </c>
      <c r="K68" s="391">
        <v>2</v>
      </c>
      <c r="L68" s="391">
        <v>2</v>
      </c>
      <c r="M68" s="391">
        <v>3</v>
      </c>
      <c r="N68" s="391">
        <v>3</v>
      </c>
      <c r="O68" s="391">
        <v>5</v>
      </c>
      <c r="P68" s="391">
        <v>5</v>
      </c>
      <c r="Q68" s="391">
        <v>5</v>
      </c>
      <c r="R68" s="391">
        <v>4</v>
      </c>
      <c r="S68" s="391">
        <v>6</v>
      </c>
      <c r="T68" s="391">
        <v>6</v>
      </c>
      <c r="U68" s="391">
        <v>11</v>
      </c>
      <c r="V68" s="391">
        <v>10</v>
      </c>
      <c r="W68" s="391">
        <v>1</v>
      </c>
      <c r="X68" s="391">
        <v>1</v>
      </c>
      <c r="Y68" s="391">
        <v>1</v>
      </c>
      <c r="Z68" s="391">
        <v>1</v>
      </c>
      <c r="AA68" s="391">
        <v>2</v>
      </c>
      <c r="AB68" s="391">
        <v>2</v>
      </c>
      <c r="AC68" s="878">
        <f t="shared" ref="AC68:AF129" si="21">E68+K68+Q68+W68</f>
        <v>10</v>
      </c>
      <c r="AD68" s="878">
        <f t="shared" si="21"/>
        <v>9</v>
      </c>
      <c r="AE68" s="878">
        <f t="shared" si="21"/>
        <v>10</v>
      </c>
      <c r="AF68" s="878">
        <f t="shared" si="21"/>
        <v>10</v>
      </c>
      <c r="AG68" s="878">
        <f t="shared" ref="AG68:AH129" si="22">AC68+AE68</f>
        <v>20</v>
      </c>
      <c r="AH68" s="879">
        <f t="shared" si="22"/>
        <v>19</v>
      </c>
      <c r="AI68" s="1194"/>
      <c r="AJ68" s="378"/>
      <c r="AK68" s="378"/>
      <c r="AL68" s="378"/>
      <c r="AM68" s="378"/>
    </row>
    <row r="69" spans="1:39" ht="13.5" customHeight="1">
      <c r="A69" s="375" t="s">
        <v>625</v>
      </c>
      <c r="B69" s="375" t="str">
        <f t="shared" si="0"/>
        <v>LIMOGES ENSCI</v>
      </c>
      <c r="C69" s="375" t="str">
        <f t="shared" si="14"/>
        <v xml:space="preserve"> </v>
      </c>
      <c r="D69" s="400" t="s">
        <v>431</v>
      </c>
      <c r="E69" s="394"/>
      <c r="F69" s="394"/>
      <c r="G69" s="394"/>
      <c r="H69" s="394"/>
      <c r="I69" s="394"/>
      <c r="J69" s="394">
        <v>0</v>
      </c>
      <c r="K69" s="394"/>
      <c r="L69" s="394"/>
      <c r="M69" s="394"/>
      <c r="N69" s="394"/>
      <c r="O69" s="394"/>
      <c r="P69" s="394">
        <v>0</v>
      </c>
      <c r="Q69" s="394">
        <v>1</v>
      </c>
      <c r="R69" s="394">
        <v>1</v>
      </c>
      <c r="S69" s="394"/>
      <c r="T69" s="394"/>
      <c r="U69" s="394">
        <v>1</v>
      </c>
      <c r="V69" s="394">
        <v>1</v>
      </c>
      <c r="W69" s="394"/>
      <c r="X69" s="394"/>
      <c r="Y69" s="394"/>
      <c r="Z69" s="394"/>
      <c r="AA69" s="394"/>
      <c r="AB69" s="394">
        <v>0</v>
      </c>
      <c r="AC69" s="874">
        <f t="shared" si="21"/>
        <v>1</v>
      </c>
      <c r="AD69" s="874">
        <f t="shared" si="21"/>
        <v>1</v>
      </c>
      <c r="AE69" s="874">
        <f t="shared" si="21"/>
        <v>0</v>
      </c>
      <c r="AF69" s="874">
        <f t="shared" si="21"/>
        <v>0</v>
      </c>
      <c r="AG69" s="874">
        <f t="shared" si="22"/>
        <v>1</v>
      </c>
      <c r="AH69" s="875">
        <f t="shared" si="22"/>
        <v>1</v>
      </c>
      <c r="AI69" s="1194"/>
      <c r="AJ69" s="378"/>
      <c r="AK69" s="378"/>
      <c r="AL69" s="378"/>
      <c r="AM69" s="378"/>
    </row>
    <row r="70" spans="1:39" ht="13.5" customHeight="1">
      <c r="B70" s="375" t="str">
        <f t="shared" si="0"/>
        <v/>
      </c>
      <c r="C70" s="375" t="str">
        <f t="shared" si="14"/>
        <v>ach</v>
      </c>
      <c r="D70" s="399" t="s">
        <v>432</v>
      </c>
      <c r="E70" s="389">
        <f>SUM(E68:E69)</f>
        <v>2</v>
      </c>
      <c r="F70" s="389">
        <f t="shared" ref="F70:AH70" si="23">SUM(F68:F69)</f>
        <v>2</v>
      </c>
      <c r="G70" s="389">
        <f t="shared" si="23"/>
        <v>0</v>
      </c>
      <c r="H70" s="389">
        <f t="shared" si="23"/>
        <v>0</v>
      </c>
      <c r="I70" s="389">
        <f t="shared" si="23"/>
        <v>2</v>
      </c>
      <c r="J70" s="389">
        <f t="shared" si="23"/>
        <v>2</v>
      </c>
      <c r="K70" s="389">
        <f t="shared" si="23"/>
        <v>2</v>
      </c>
      <c r="L70" s="389">
        <f t="shared" si="23"/>
        <v>2</v>
      </c>
      <c r="M70" s="389">
        <f t="shared" si="23"/>
        <v>3</v>
      </c>
      <c r="N70" s="389">
        <f t="shared" si="23"/>
        <v>3</v>
      </c>
      <c r="O70" s="389">
        <f t="shared" si="23"/>
        <v>5</v>
      </c>
      <c r="P70" s="389">
        <f t="shared" si="23"/>
        <v>5</v>
      </c>
      <c r="Q70" s="389">
        <f t="shared" si="23"/>
        <v>6</v>
      </c>
      <c r="R70" s="389">
        <f t="shared" si="23"/>
        <v>5</v>
      </c>
      <c r="S70" s="389">
        <f t="shared" si="23"/>
        <v>6</v>
      </c>
      <c r="T70" s="389">
        <f t="shared" si="23"/>
        <v>6</v>
      </c>
      <c r="U70" s="389">
        <f t="shared" si="23"/>
        <v>12</v>
      </c>
      <c r="V70" s="389">
        <f t="shared" si="23"/>
        <v>11</v>
      </c>
      <c r="W70" s="389">
        <f t="shared" si="23"/>
        <v>1</v>
      </c>
      <c r="X70" s="389">
        <f t="shared" si="23"/>
        <v>1</v>
      </c>
      <c r="Y70" s="389">
        <f t="shared" si="23"/>
        <v>1</v>
      </c>
      <c r="Z70" s="389">
        <f t="shared" si="23"/>
        <v>1</v>
      </c>
      <c r="AA70" s="389">
        <f t="shared" si="23"/>
        <v>2</v>
      </c>
      <c r="AB70" s="389">
        <f t="shared" si="23"/>
        <v>2</v>
      </c>
      <c r="AC70" s="389">
        <f t="shared" si="23"/>
        <v>11</v>
      </c>
      <c r="AD70" s="389">
        <f t="shared" si="23"/>
        <v>10</v>
      </c>
      <c r="AE70" s="389">
        <f t="shared" si="23"/>
        <v>10</v>
      </c>
      <c r="AF70" s="389">
        <f t="shared" si="23"/>
        <v>10</v>
      </c>
      <c r="AG70" s="389">
        <f t="shared" si="23"/>
        <v>21</v>
      </c>
      <c r="AH70" s="1179">
        <f t="shared" si="23"/>
        <v>20</v>
      </c>
      <c r="AI70" s="1194"/>
      <c r="AJ70" s="378"/>
      <c r="AK70" s="378"/>
      <c r="AL70" s="378"/>
      <c r="AM70" s="378"/>
    </row>
    <row r="71" spans="1:39" ht="13.5" customHeight="1">
      <c r="A71" s="375" t="s">
        <v>626</v>
      </c>
      <c r="B71" s="375" t="str">
        <f t="shared" si="0"/>
        <v>LYON 1</v>
      </c>
      <c r="C71" s="375" t="str">
        <f t="shared" ref="C71:C97" si="24">IF(B71=D71," ","ach")</f>
        <v xml:space="preserve"> </v>
      </c>
      <c r="D71" s="1178" t="s">
        <v>433</v>
      </c>
      <c r="E71" s="391"/>
      <c r="F71" s="391"/>
      <c r="G71" s="391"/>
      <c r="H71" s="391"/>
      <c r="I71" s="391"/>
      <c r="J71" s="391"/>
      <c r="K71" s="391"/>
      <c r="L71" s="391"/>
      <c r="M71" s="391"/>
      <c r="N71" s="391"/>
      <c r="O71" s="391"/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878">
        <f t="shared" si="21"/>
        <v>0</v>
      </c>
      <c r="AD71" s="878">
        <f t="shared" si="21"/>
        <v>0</v>
      </c>
      <c r="AE71" s="878">
        <f t="shared" si="21"/>
        <v>0</v>
      </c>
      <c r="AF71" s="878">
        <f t="shared" si="21"/>
        <v>0</v>
      </c>
      <c r="AG71" s="878">
        <f t="shared" si="22"/>
        <v>0</v>
      </c>
      <c r="AH71" s="879">
        <f t="shared" si="22"/>
        <v>0</v>
      </c>
      <c r="AI71" s="1194"/>
      <c r="AJ71" s="378"/>
      <c r="AK71" s="378"/>
      <c r="AL71" s="378"/>
      <c r="AM71" s="378"/>
    </row>
    <row r="72" spans="1:39" ht="13.5" customHeight="1">
      <c r="A72" s="375" t="s">
        <v>627</v>
      </c>
      <c r="B72" s="375" t="str">
        <f t="shared" si="0"/>
        <v>LYON 2</v>
      </c>
      <c r="C72" s="375" t="str">
        <f t="shared" si="24"/>
        <v xml:space="preserve"> </v>
      </c>
      <c r="D72" s="397" t="s">
        <v>434</v>
      </c>
      <c r="E72" s="393">
        <v>9</v>
      </c>
      <c r="F72" s="393">
        <v>9</v>
      </c>
      <c r="G72" s="393">
        <v>1</v>
      </c>
      <c r="H72" s="393"/>
      <c r="I72" s="393">
        <v>10</v>
      </c>
      <c r="J72" s="393">
        <v>9</v>
      </c>
      <c r="K72" s="393">
        <v>15</v>
      </c>
      <c r="L72" s="393">
        <v>15</v>
      </c>
      <c r="M72" s="393">
        <v>7</v>
      </c>
      <c r="N72" s="393">
        <v>7</v>
      </c>
      <c r="O72" s="393">
        <v>22</v>
      </c>
      <c r="P72" s="393">
        <v>22</v>
      </c>
      <c r="Q72" s="393">
        <v>1</v>
      </c>
      <c r="R72" s="393">
        <v>1</v>
      </c>
      <c r="S72" s="393">
        <v>1</v>
      </c>
      <c r="T72" s="393">
        <v>1</v>
      </c>
      <c r="U72" s="393">
        <v>2</v>
      </c>
      <c r="V72" s="393">
        <v>2</v>
      </c>
      <c r="W72" s="393"/>
      <c r="X72" s="393"/>
      <c r="Y72" s="393"/>
      <c r="Z72" s="393"/>
      <c r="AA72" s="393"/>
      <c r="AB72" s="393">
        <v>0</v>
      </c>
      <c r="AC72" s="868">
        <f t="shared" si="21"/>
        <v>25</v>
      </c>
      <c r="AD72" s="868">
        <f t="shared" si="21"/>
        <v>25</v>
      </c>
      <c r="AE72" s="868">
        <f t="shared" si="21"/>
        <v>9</v>
      </c>
      <c r="AF72" s="868">
        <f t="shared" si="21"/>
        <v>8</v>
      </c>
      <c r="AG72" s="868">
        <f t="shared" si="22"/>
        <v>34</v>
      </c>
      <c r="AH72" s="869">
        <f t="shared" si="22"/>
        <v>33</v>
      </c>
      <c r="AI72" s="1194"/>
      <c r="AJ72" s="378"/>
      <c r="AK72" s="378"/>
      <c r="AL72" s="378"/>
      <c r="AM72" s="378"/>
    </row>
    <row r="73" spans="1:39" ht="13.5" customHeight="1">
      <c r="A73" s="375" t="s">
        <v>628</v>
      </c>
      <c r="B73" s="375" t="str">
        <f t="shared" ref="B73:B145" si="25">MID(A73,6,20)</f>
        <v>LYON 3</v>
      </c>
      <c r="C73" s="375" t="str">
        <f t="shared" si="24"/>
        <v xml:space="preserve"> </v>
      </c>
      <c r="D73" s="397" t="s">
        <v>435</v>
      </c>
      <c r="E73" s="393">
        <v>12</v>
      </c>
      <c r="F73" s="393">
        <v>11</v>
      </c>
      <c r="G73" s="393">
        <v>3</v>
      </c>
      <c r="H73" s="393">
        <v>1</v>
      </c>
      <c r="I73" s="393">
        <v>15</v>
      </c>
      <c r="J73" s="393">
        <v>12</v>
      </c>
      <c r="K73" s="393">
        <v>12</v>
      </c>
      <c r="L73" s="393">
        <v>11</v>
      </c>
      <c r="M73" s="393">
        <v>7</v>
      </c>
      <c r="N73" s="393">
        <v>6</v>
      </c>
      <c r="O73" s="393">
        <v>19</v>
      </c>
      <c r="P73" s="393">
        <v>17</v>
      </c>
      <c r="Q73" s="393"/>
      <c r="R73" s="393"/>
      <c r="S73" s="393"/>
      <c r="T73" s="393"/>
      <c r="U73" s="393"/>
      <c r="V73" s="393">
        <v>0</v>
      </c>
      <c r="W73" s="393"/>
      <c r="X73" s="393"/>
      <c r="Y73" s="393"/>
      <c r="Z73" s="393"/>
      <c r="AA73" s="393"/>
      <c r="AB73" s="393">
        <v>0</v>
      </c>
      <c r="AC73" s="868">
        <f t="shared" si="21"/>
        <v>24</v>
      </c>
      <c r="AD73" s="868">
        <f t="shared" si="21"/>
        <v>22</v>
      </c>
      <c r="AE73" s="868">
        <f t="shared" si="21"/>
        <v>10</v>
      </c>
      <c r="AF73" s="868">
        <f t="shared" si="21"/>
        <v>7</v>
      </c>
      <c r="AG73" s="868">
        <f t="shared" si="22"/>
        <v>34</v>
      </c>
      <c r="AH73" s="869">
        <f t="shared" si="22"/>
        <v>29</v>
      </c>
      <c r="AI73" s="1194"/>
      <c r="AJ73" s="378"/>
      <c r="AK73" s="378"/>
      <c r="AL73" s="378"/>
      <c r="AM73" s="378"/>
    </row>
    <row r="74" spans="1:39" ht="13.5" customHeight="1">
      <c r="A74" s="375" t="s">
        <v>629</v>
      </c>
      <c r="B74" s="375" t="str">
        <f t="shared" si="25"/>
        <v>ST ETIENNE</v>
      </c>
      <c r="C74" s="375" t="str">
        <f t="shared" si="24"/>
        <v xml:space="preserve"> </v>
      </c>
      <c r="D74" s="397" t="s">
        <v>436</v>
      </c>
      <c r="E74" s="393">
        <v>5</v>
      </c>
      <c r="F74" s="393">
        <v>5</v>
      </c>
      <c r="G74" s="393">
        <v>1</v>
      </c>
      <c r="H74" s="393">
        <v>1</v>
      </c>
      <c r="I74" s="393">
        <v>6</v>
      </c>
      <c r="J74" s="393">
        <v>5</v>
      </c>
      <c r="K74" s="393">
        <v>5</v>
      </c>
      <c r="L74" s="393">
        <v>5</v>
      </c>
      <c r="M74" s="393">
        <v>2</v>
      </c>
      <c r="N74" s="393">
        <v>2</v>
      </c>
      <c r="O74" s="393">
        <v>7</v>
      </c>
      <c r="P74" s="393">
        <v>7</v>
      </c>
      <c r="Q74" s="393">
        <v>8</v>
      </c>
      <c r="R74" s="393">
        <v>8</v>
      </c>
      <c r="S74" s="393"/>
      <c r="T74" s="393"/>
      <c r="U74" s="393">
        <v>8</v>
      </c>
      <c r="V74" s="393">
        <v>8</v>
      </c>
      <c r="W74" s="393"/>
      <c r="X74" s="393"/>
      <c r="Y74" s="393"/>
      <c r="Z74" s="393"/>
      <c r="AA74" s="393"/>
      <c r="AB74" s="393">
        <v>0</v>
      </c>
      <c r="AC74" s="868">
        <f t="shared" si="21"/>
        <v>18</v>
      </c>
      <c r="AD74" s="868">
        <f t="shared" si="21"/>
        <v>18</v>
      </c>
      <c r="AE74" s="868">
        <f t="shared" si="21"/>
        <v>3</v>
      </c>
      <c r="AF74" s="868">
        <f t="shared" si="21"/>
        <v>3</v>
      </c>
      <c r="AG74" s="868">
        <f t="shared" si="22"/>
        <v>21</v>
      </c>
      <c r="AH74" s="869">
        <f t="shared" si="22"/>
        <v>21</v>
      </c>
      <c r="AI74" s="1194"/>
      <c r="AJ74" s="378"/>
      <c r="AK74" s="378"/>
      <c r="AL74" s="378"/>
      <c r="AM74" s="378"/>
    </row>
    <row r="75" spans="1:39" ht="13.5" customHeight="1">
      <c r="A75" s="375" t="s">
        <v>630</v>
      </c>
      <c r="B75" s="375" t="str">
        <f t="shared" si="25"/>
        <v>LYON IEP</v>
      </c>
      <c r="C75" s="375" t="str">
        <f t="shared" si="24"/>
        <v xml:space="preserve"> </v>
      </c>
      <c r="D75" s="397" t="s">
        <v>437</v>
      </c>
      <c r="E75" s="393">
        <v>3</v>
      </c>
      <c r="F75" s="393">
        <v>3</v>
      </c>
      <c r="G75" s="393">
        <v>2</v>
      </c>
      <c r="H75" s="393">
        <v>2</v>
      </c>
      <c r="I75" s="393">
        <v>5</v>
      </c>
      <c r="J75" s="393">
        <v>5</v>
      </c>
      <c r="K75" s="393"/>
      <c r="L75" s="393"/>
      <c r="M75" s="393"/>
      <c r="N75" s="393"/>
      <c r="O75" s="393"/>
      <c r="P75" s="393">
        <v>0</v>
      </c>
      <c r="Q75" s="393"/>
      <c r="R75" s="393"/>
      <c r="S75" s="393"/>
      <c r="T75" s="393"/>
      <c r="U75" s="393"/>
      <c r="V75" s="393">
        <v>0</v>
      </c>
      <c r="W75" s="393"/>
      <c r="X75" s="393"/>
      <c r="Y75" s="393"/>
      <c r="Z75" s="393"/>
      <c r="AA75" s="393"/>
      <c r="AB75" s="393">
        <v>0</v>
      </c>
      <c r="AC75" s="868">
        <f t="shared" si="21"/>
        <v>3</v>
      </c>
      <c r="AD75" s="868">
        <f t="shared" si="21"/>
        <v>3</v>
      </c>
      <c r="AE75" s="868">
        <f t="shared" si="21"/>
        <v>2</v>
      </c>
      <c r="AF75" s="868">
        <f t="shared" si="21"/>
        <v>2</v>
      </c>
      <c r="AG75" s="868">
        <f t="shared" si="22"/>
        <v>5</v>
      </c>
      <c r="AH75" s="869">
        <f t="shared" si="22"/>
        <v>5</v>
      </c>
      <c r="AI75" s="1194"/>
      <c r="AJ75" s="378"/>
      <c r="AK75" s="378"/>
      <c r="AL75" s="378"/>
      <c r="AM75" s="378"/>
    </row>
    <row r="76" spans="1:39" ht="13.5" customHeight="1">
      <c r="A76" s="375" t="s">
        <v>631</v>
      </c>
      <c r="B76" s="375" t="str">
        <f t="shared" si="25"/>
        <v>LYON ENS</v>
      </c>
      <c r="C76" s="375" t="str">
        <f t="shared" si="24"/>
        <v xml:space="preserve"> </v>
      </c>
      <c r="D76" s="397" t="s">
        <v>438</v>
      </c>
      <c r="E76" s="393"/>
      <c r="F76" s="393"/>
      <c r="G76" s="393"/>
      <c r="H76" s="393"/>
      <c r="I76" s="393"/>
      <c r="J76" s="393">
        <v>0</v>
      </c>
      <c r="K76" s="393"/>
      <c r="L76" s="393"/>
      <c r="M76" s="393">
        <v>3</v>
      </c>
      <c r="N76" s="393">
        <v>3</v>
      </c>
      <c r="O76" s="393">
        <v>3</v>
      </c>
      <c r="P76" s="393">
        <v>3</v>
      </c>
      <c r="Q76" s="393">
        <v>1</v>
      </c>
      <c r="R76" s="393">
        <v>1</v>
      </c>
      <c r="S76" s="393">
        <v>2</v>
      </c>
      <c r="T76" s="393">
        <v>1</v>
      </c>
      <c r="U76" s="393">
        <v>3</v>
      </c>
      <c r="V76" s="393">
        <v>2</v>
      </c>
      <c r="W76" s="393"/>
      <c r="X76" s="393"/>
      <c r="Y76" s="393"/>
      <c r="Z76" s="393"/>
      <c r="AA76" s="393"/>
      <c r="AB76" s="393">
        <v>0</v>
      </c>
      <c r="AC76" s="868">
        <f t="shared" si="21"/>
        <v>1</v>
      </c>
      <c r="AD76" s="868">
        <f t="shared" si="21"/>
        <v>1</v>
      </c>
      <c r="AE76" s="868">
        <f t="shared" si="21"/>
        <v>5</v>
      </c>
      <c r="AF76" s="868">
        <f t="shared" si="21"/>
        <v>4</v>
      </c>
      <c r="AG76" s="868">
        <f t="shared" si="22"/>
        <v>6</v>
      </c>
      <c r="AH76" s="869">
        <f t="shared" si="22"/>
        <v>5</v>
      </c>
      <c r="AI76" s="1194"/>
      <c r="AJ76" s="378"/>
      <c r="AK76" s="378"/>
      <c r="AL76" s="378"/>
      <c r="AM76" s="378"/>
    </row>
    <row r="77" spans="1:39" ht="13.5" customHeight="1">
      <c r="A77" s="375" t="s">
        <v>632</v>
      </c>
      <c r="B77" s="375" t="str">
        <f t="shared" si="25"/>
        <v>LYON ECOLE CENTRALE</v>
      </c>
      <c r="C77" s="375" t="str">
        <f t="shared" si="24"/>
        <v>ach</v>
      </c>
      <c r="D77" s="397" t="s">
        <v>439</v>
      </c>
      <c r="E77" s="393"/>
      <c r="F77" s="393"/>
      <c r="G77" s="393"/>
      <c r="H77" s="393"/>
      <c r="I77" s="393"/>
      <c r="J77" s="393">
        <v>0</v>
      </c>
      <c r="K77" s="393"/>
      <c r="L77" s="393"/>
      <c r="M77" s="393"/>
      <c r="N77" s="393"/>
      <c r="O77" s="393"/>
      <c r="P77" s="393">
        <v>0</v>
      </c>
      <c r="Q77" s="393">
        <v>3</v>
      </c>
      <c r="R77" s="393">
        <v>3</v>
      </c>
      <c r="S77" s="393">
        <v>3</v>
      </c>
      <c r="T77" s="393">
        <v>3</v>
      </c>
      <c r="U77" s="393">
        <v>6</v>
      </c>
      <c r="V77" s="393">
        <v>6</v>
      </c>
      <c r="W77" s="393"/>
      <c r="X77" s="393"/>
      <c r="Y77" s="393"/>
      <c r="Z77" s="393"/>
      <c r="AA77" s="393"/>
      <c r="AB77" s="393">
        <v>0</v>
      </c>
      <c r="AC77" s="868">
        <f t="shared" si="21"/>
        <v>3</v>
      </c>
      <c r="AD77" s="868">
        <f t="shared" si="21"/>
        <v>3</v>
      </c>
      <c r="AE77" s="868">
        <f t="shared" si="21"/>
        <v>3</v>
      </c>
      <c r="AF77" s="868">
        <f t="shared" si="21"/>
        <v>3</v>
      </c>
      <c r="AG77" s="868">
        <f t="shared" si="22"/>
        <v>6</v>
      </c>
      <c r="AH77" s="869">
        <f t="shared" si="22"/>
        <v>6</v>
      </c>
      <c r="AI77" s="1194"/>
      <c r="AJ77" s="378"/>
      <c r="AK77" s="378"/>
      <c r="AL77" s="378"/>
      <c r="AM77" s="378"/>
    </row>
    <row r="78" spans="1:39" ht="13.5" customHeight="1">
      <c r="A78" s="375" t="s">
        <v>633</v>
      </c>
      <c r="B78" s="375" t="str">
        <f t="shared" si="25"/>
        <v>LYON INSA</v>
      </c>
      <c r="C78" s="375" t="str">
        <f t="shared" si="24"/>
        <v xml:space="preserve"> </v>
      </c>
      <c r="D78" s="397" t="s">
        <v>440</v>
      </c>
      <c r="E78" s="393"/>
      <c r="F78" s="393"/>
      <c r="G78" s="393"/>
      <c r="H78" s="393"/>
      <c r="I78" s="393"/>
      <c r="J78" s="393">
        <v>0</v>
      </c>
      <c r="K78" s="393"/>
      <c r="L78" s="393"/>
      <c r="M78" s="393"/>
      <c r="N78" s="393"/>
      <c r="O78" s="393"/>
      <c r="P78" s="393">
        <v>0</v>
      </c>
      <c r="Q78" s="393">
        <v>14</v>
      </c>
      <c r="R78" s="393">
        <v>14</v>
      </c>
      <c r="S78" s="393">
        <v>11</v>
      </c>
      <c r="T78" s="393">
        <v>9</v>
      </c>
      <c r="U78" s="393">
        <v>25</v>
      </c>
      <c r="V78" s="393">
        <v>23</v>
      </c>
      <c r="W78" s="393"/>
      <c r="X78" s="393"/>
      <c r="Y78" s="393"/>
      <c r="Z78" s="393"/>
      <c r="AA78" s="393"/>
      <c r="AB78" s="393">
        <v>0</v>
      </c>
      <c r="AC78" s="868">
        <f t="shared" si="21"/>
        <v>14</v>
      </c>
      <c r="AD78" s="868">
        <f t="shared" si="21"/>
        <v>14</v>
      </c>
      <c r="AE78" s="868">
        <f t="shared" si="21"/>
        <v>11</v>
      </c>
      <c r="AF78" s="868">
        <f t="shared" si="21"/>
        <v>9</v>
      </c>
      <c r="AG78" s="868">
        <f t="shared" si="22"/>
        <v>25</v>
      </c>
      <c r="AH78" s="869">
        <f t="shared" si="22"/>
        <v>23</v>
      </c>
      <c r="AI78" s="1194"/>
      <c r="AJ78" s="378"/>
      <c r="AK78" s="378"/>
      <c r="AL78" s="378"/>
      <c r="AM78" s="378"/>
    </row>
    <row r="79" spans="1:39" ht="13.5" customHeight="1">
      <c r="A79" s="375" t="s">
        <v>634</v>
      </c>
      <c r="B79" s="375" t="str">
        <f t="shared" si="25"/>
        <v>ST ETIENNE ENI</v>
      </c>
      <c r="C79" s="375" t="str">
        <f t="shared" si="24"/>
        <v xml:space="preserve"> </v>
      </c>
      <c r="D79" s="398" t="s">
        <v>441</v>
      </c>
      <c r="E79" s="381"/>
      <c r="F79" s="381"/>
      <c r="G79" s="381"/>
      <c r="H79" s="381"/>
      <c r="I79" s="381"/>
      <c r="J79" s="381">
        <v>0</v>
      </c>
      <c r="K79" s="381"/>
      <c r="L79" s="381"/>
      <c r="M79" s="381"/>
      <c r="N79" s="381"/>
      <c r="O79" s="381"/>
      <c r="P79" s="381">
        <v>0</v>
      </c>
      <c r="Q79" s="381">
        <v>2</v>
      </c>
      <c r="R79" s="381">
        <v>2</v>
      </c>
      <c r="S79" s="381">
        <v>1</v>
      </c>
      <c r="T79" s="381">
        <v>1</v>
      </c>
      <c r="U79" s="381">
        <v>3</v>
      </c>
      <c r="V79" s="381">
        <v>3</v>
      </c>
      <c r="W79" s="381"/>
      <c r="X79" s="381"/>
      <c r="Y79" s="381"/>
      <c r="Z79" s="381"/>
      <c r="AA79" s="381"/>
      <c r="AB79" s="381">
        <v>0</v>
      </c>
      <c r="AC79" s="870">
        <f t="shared" si="21"/>
        <v>2</v>
      </c>
      <c r="AD79" s="870">
        <f t="shared" si="21"/>
        <v>2</v>
      </c>
      <c r="AE79" s="870">
        <f t="shared" si="21"/>
        <v>1</v>
      </c>
      <c r="AF79" s="870">
        <f t="shared" si="21"/>
        <v>1</v>
      </c>
      <c r="AG79" s="870">
        <f t="shared" si="22"/>
        <v>3</v>
      </c>
      <c r="AH79" s="871">
        <f t="shared" si="22"/>
        <v>3</v>
      </c>
      <c r="AI79" s="1194"/>
      <c r="AJ79" s="378"/>
      <c r="AK79" s="378"/>
      <c r="AL79" s="378"/>
      <c r="AM79" s="378"/>
    </row>
    <row r="80" spans="1:39" ht="13.5" customHeight="1">
      <c r="B80" s="375" t="str">
        <f t="shared" si="25"/>
        <v/>
      </c>
      <c r="C80" s="375" t="str">
        <f t="shared" si="24"/>
        <v>ach</v>
      </c>
      <c r="D80" s="399" t="s">
        <v>442</v>
      </c>
      <c r="E80" s="389">
        <f t="shared" ref="E80:AH80" si="26">SUM(E71:E79)</f>
        <v>29</v>
      </c>
      <c r="F80" s="389">
        <f t="shared" si="26"/>
        <v>28</v>
      </c>
      <c r="G80" s="389">
        <f t="shared" si="26"/>
        <v>7</v>
      </c>
      <c r="H80" s="389">
        <f t="shared" si="26"/>
        <v>4</v>
      </c>
      <c r="I80" s="389">
        <f t="shared" si="26"/>
        <v>36</v>
      </c>
      <c r="J80" s="389">
        <f t="shared" si="26"/>
        <v>31</v>
      </c>
      <c r="K80" s="389">
        <f t="shared" si="26"/>
        <v>32</v>
      </c>
      <c r="L80" s="389">
        <f t="shared" si="26"/>
        <v>31</v>
      </c>
      <c r="M80" s="389">
        <f t="shared" si="26"/>
        <v>19</v>
      </c>
      <c r="N80" s="389">
        <f t="shared" si="26"/>
        <v>18</v>
      </c>
      <c r="O80" s="389">
        <f t="shared" si="26"/>
        <v>51</v>
      </c>
      <c r="P80" s="389">
        <f t="shared" si="26"/>
        <v>49</v>
      </c>
      <c r="Q80" s="389">
        <f t="shared" si="26"/>
        <v>29</v>
      </c>
      <c r="R80" s="389">
        <f t="shared" si="26"/>
        <v>29</v>
      </c>
      <c r="S80" s="389">
        <f t="shared" si="26"/>
        <v>18</v>
      </c>
      <c r="T80" s="389">
        <f t="shared" si="26"/>
        <v>15</v>
      </c>
      <c r="U80" s="389">
        <f t="shared" si="26"/>
        <v>47</v>
      </c>
      <c r="V80" s="389">
        <f t="shared" si="26"/>
        <v>44</v>
      </c>
      <c r="W80" s="389">
        <f t="shared" si="26"/>
        <v>0</v>
      </c>
      <c r="X80" s="389">
        <f t="shared" si="26"/>
        <v>0</v>
      </c>
      <c r="Y80" s="389">
        <f t="shared" si="26"/>
        <v>0</v>
      </c>
      <c r="Z80" s="389">
        <f t="shared" si="26"/>
        <v>0</v>
      </c>
      <c r="AA80" s="389">
        <f t="shared" si="26"/>
        <v>0</v>
      </c>
      <c r="AB80" s="389">
        <f t="shared" si="26"/>
        <v>0</v>
      </c>
      <c r="AC80" s="389">
        <f t="shared" si="26"/>
        <v>90</v>
      </c>
      <c r="AD80" s="389">
        <f t="shared" si="26"/>
        <v>88</v>
      </c>
      <c r="AE80" s="389">
        <f t="shared" si="26"/>
        <v>44</v>
      </c>
      <c r="AF80" s="389">
        <f t="shared" si="26"/>
        <v>37</v>
      </c>
      <c r="AG80" s="389">
        <f t="shared" si="26"/>
        <v>134</v>
      </c>
      <c r="AH80" s="1179">
        <f t="shared" si="26"/>
        <v>125</v>
      </c>
      <c r="AI80" s="1194"/>
      <c r="AJ80" s="378"/>
      <c r="AK80" s="378"/>
      <c r="AL80" s="378"/>
      <c r="AM80" s="378"/>
    </row>
    <row r="81" spans="1:39" ht="13.5" customHeight="1">
      <c r="A81" s="375" t="s">
        <v>635</v>
      </c>
      <c r="B81" s="375" t="str">
        <f t="shared" si="25"/>
        <v>MONTPELLIER 1</v>
      </c>
      <c r="C81" s="375" t="str">
        <f t="shared" si="24"/>
        <v xml:space="preserve"> </v>
      </c>
      <c r="D81" s="403" t="s">
        <v>443</v>
      </c>
      <c r="E81" s="391">
        <v>7</v>
      </c>
      <c r="F81" s="391">
        <v>7</v>
      </c>
      <c r="G81" s="391">
        <v>5</v>
      </c>
      <c r="H81" s="391">
        <v>5</v>
      </c>
      <c r="I81" s="391">
        <v>12</v>
      </c>
      <c r="J81" s="391">
        <v>11</v>
      </c>
      <c r="K81" s="391">
        <v>1</v>
      </c>
      <c r="L81" s="391">
        <v>1</v>
      </c>
      <c r="M81" s="391"/>
      <c r="N81" s="391"/>
      <c r="O81" s="391">
        <v>1</v>
      </c>
      <c r="P81" s="391">
        <v>1</v>
      </c>
      <c r="Q81" s="391">
        <v>2</v>
      </c>
      <c r="R81" s="391">
        <v>2</v>
      </c>
      <c r="S81" s="391">
        <v>1</v>
      </c>
      <c r="T81" s="391">
        <v>1</v>
      </c>
      <c r="U81" s="391">
        <v>3</v>
      </c>
      <c r="V81" s="391">
        <v>3</v>
      </c>
      <c r="W81" s="391">
        <v>4</v>
      </c>
      <c r="X81" s="391">
        <v>4</v>
      </c>
      <c r="Y81" s="391">
        <v>4</v>
      </c>
      <c r="Z81" s="391">
        <v>4</v>
      </c>
      <c r="AA81" s="391">
        <v>8</v>
      </c>
      <c r="AB81" s="391">
        <v>8</v>
      </c>
      <c r="AC81" s="878">
        <f t="shared" si="21"/>
        <v>14</v>
      </c>
      <c r="AD81" s="878">
        <f t="shared" si="21"/>
        <v>14</v>
      </c>
      <c r="AE81" s="878">
        <f t="shared" si="21"/>
        <v>10</v>
      </c>
      <c r="AF81" s="878">
        <f t="shared" si="21"/>
        <v>10</v>
      </c>
      <c r="AG81" s="878">
        <f t="shared" si="22"/>
        <v>24</v>
      </c>
      <c r="AH81" s="879">
        <f t="shared" si="22"/>
        <v>24</v>
      </c>
      <c r="AI81" s="1194"/>
      <c r="AJ81" s="378"/>
      <c r="AK81" s="378"/>
      <c r="AL81" s="378"/>
      <c r="AM81" s="378"/>
    </row>
    <row r="82" spans="1:39" ht="13.5" customHeight="1">
      <c r="A82" s="375" t="s">
        <v>636</v>
      </c>
      <c r="B82" s="375" t="str">
        <f t="shared" si="25"/>
        <v>MONTPELLIER 2</v>
      </c>
      <c r="C82" s="375" t="str">
        <f t="shared" si="24"/>
        <v xml:space="preserve"> </v>
      </c>
      <c r="D82" s="397" t="s">
        <v>444</v>
      </c>
      <c r="E82" s="393">
        <v>4</v>
      </c>
      <c r="F82" s="393">
        <v>4</v>
      </c>
      <c r="G82" s="393">
        <v>1</v>
      </c>
      <c r="H82" s="393">
        <v>1</v>
      </c>
      <c r="I82" s="393">
        <v>5</v>
      </c>
      <c r="J82" s="393">
        <v>5</v>
      </c>
      <c r="K82" s="393">
        <v>4</v>
      </c>
      <c r="L82" s="393">
        <v>4</v>
      </c>
      <c r="M82" s="393">
        <v>1</v>
      </c>
      <c r="N82" s="393">
        <v>1</v>
      </c>
      <c r="O82" s="393">
        <v>5</v>
      </c>
      <c r="P82" s="393">
        <v>5</v>
      </c>
      <c r="Q82" s="393">
        <v>12</v>
      </c>
      <c r="R82" s="393">
        <v>12</v>
      </c>
      <c r="S82" s="393">
        <v>10</v>
      </c>
      <c r="T82" s="393">
        <v>10</v>
      </c>
      <c r="U82" s="393">
        <v>22</v>
      </c>
      <c r="V82" s="393">
        <v>20</v>
      </c>
      <c r="W82" s="393"/>
      <c r="X82" s="393"/>
      <c r="Y82" s="393"/>
      <c r="Z82" s="393"/>
      <c r="AA82" s="393"/>
      <c r="AB82" s="393">
        <v>0</v>
      </c>
      <c r="AC82" s="868">
        <f t="shared" si="21"/>
        <v>20</v>
      </c>
      <c r="AD82" s="868">
        <f t="shared" si="21"/>
        <v>20</v>
      </c>
      <c r="AE82" s="868">
        <f t="shared" si="21"/>
        <v>12</v>
      </c>
      <c r="AF82" s="868">
        <f t="shared" si="21"/>
        <v>12</v>
      </c>
      <c r="AG82" s="868">
        <f t="shared" si="22"/>
        <v>32</v>
      </c>
      <c r="AH82" s="869">
        <f t="shared" si="22"/>
        <v>32</v>
      </c>
      <c r="AI82" s="1194"/>
      <c r="AJ82" s="378"/>
      <c r="AK82" s="378"/>
      <c r="AL82" s="378"/>
      <c r="AM82" s="378"/>
    </row>
    <row r="83" spans="1:39" ht="13.5" customHeight="1">
      <c r="A83" s="375" t="s">
        <v>637</v>
      </c>
      <c r="B83" s="375" t="str">
        <f t="shared" si="25"/>
        <v>MONTPELLIER 3</v>
      </c>
      <c r="C83" s="375" t="str">
        <f t="shared" si="24"/>
        <v xml:space="preserve"> </v>
      </c>
      <c r="D83" s="397" t="s">
        <v>445</v>
      </c>
      <c r="E83" s="393">
        <v>3</v>
      </c>
      <c r="F83" s="393">
        <v>2</v>
      </c>
      <c r="G83" s="393"/>
      <c r="H83" s="393"/>
      <c r="I83" s="393">
        <v>3</v>
      </c>
      <c r="J83" s="393">
        <v>2</v>
      </c>
      <c r="K83" s="393">
        <v>20</v>
      </c>
      <c r="L83" s="393">
        <v>20</v>
      </c>
      <c r="M83" s="393">
        <v>7</v>
      </c>
      <c r="N83" s="393">
        <v>6</v>
      </c>
      <c r="O83" s="393">
        <v>27</v>
      </c>
      <c r="P83" s="393">
        <v>26</v>
      </c>
      <c r="Q83" s="393"/>
      <c r="R83" s="393"/>
      <c r="S83" s="393"/>
      <c r="T83" s="393"/>
      <c r="U83" s="393"/>
      <c r="V83" s="393">
        <v>0</v>
      </c>
      <c r="W83" s="393"/>
      <c r="X83" s="393"/>
      <c r="Y83" s="393"/>
      <c r="Z83" s="393"/>
      <c r="AA83" s="393"/>
      <c r="AB83" s="393">
        <v>0</v>
      </c>
      <c r="AC83" s="868">
        <f t="shared" si="21"/>
        <v>23</v>
      </c>
      <c r="AD83" s="868">
        <f t="shared" si="21"/>
        <v>22</v>
      </c>
      <c r="AE83" s="868">
        <f t="shared" si="21"/>
        <v>7</v>
      </c>
      <c r="AF83" s="868">
        <f t="shared" si="21"/>
        <v>6</v>
      </c>
      <c r="AG83" s="868">
        <f t="shared" si="22"/>
        <v>30</v>
      </c>
      <c r="AH83" s="869">
        <f t="shared" si="22"/>
        <v>28</v>
      </c>
      <c r="AI83" s="1194"/>
      <c r="AJ83" s="378"/>
      <c r="AK83" s="378"/>
      <c r="AL83" s="378"/>
      <c r="AM83" s="378"/>
    </row>
    <row r="84" spans="1:39" ht="13.5" customHeight="1">
      <c r="A84" s="375" t="s">
        <v>638</v>
      </c>
      <c r="B84" s="375" t="str">
        <f t="shared" si="25"/>
        <v>NIMES</v>
      </c>
      <c r="C84" s="375" t="str">
        <f t="shared" si="24"/>
        <v xml:space="preserve"> </v>
      </c>
      <c r="D84" s="397" t="s">
        <v>504</v>
      </c>
      <c r="E84" s="393">
        <v>3</v>
      </c>
      <c r="F84" s="393">
        <v>3</v>
      </c>
      <c r="G84" s="393">
        <v>1</v>
      </c>
      <c r="H84" s="393"/>
      <c r="I84" s="393">
        <v>4</v>
      </c>
      <c r="J84" s="393">
        <v>3</v>
      </c>
      <c r="K84" s="393">
        <v>4</v>
      </c>
      <c r="L84" s="393">
        <v>4</v>
      </c>
      <c r="M84" s="393"/>
      <c r="N84" s="393"/>
      <c r="O84" s="393">
        <v>4</v>
      </c>
      <c r="P84" s="393">
        <v>4</v>
      </c>
      <c r="Q84" s="393">
        <v>2</v>
      </c>
      <c r="R84" s="393">
        <v>2</v>
      </c>
      <c r="S84" s="393"/>
      <c r="T84" s="393"/>
      <c r="U84" s="393">
        <v>2</v>
      </c>
      <c r="V84" s="393">
        <v>2</v>
      </c>
      <c r="W84" s="393"/>
      <c r="X84" s="393"/>
      <c r="Y84" s="393"/>
      <c r="Z84" s="393"/>
      <c r="AA84" s="393"/>
      <c r="AB84" s="393">
        <v>0</v>
      </c>
      <c r="AC84" s="868">
        <f>E84+K84+Q84+W84</f>
        <v>9</v>
      </c>
      <c r="AD84" s="868">
        <f>F84+L84+R84+X84</f>
        <v>9</v>
      </c>
      <c r="AE84" s="868">
        <f>G84+M84+S84+Y84</f>
        <v>1</v>
      </c>
      <c r="AF84" s="868">
        <f>H84+N84+T84+Z84</f>
        <v>0</v>
      </c>
      <c r="AG84" s="868">
        <f>AC84+AE84</f>
        <v>10</v>
      </c>
      <c r="AH84" s="869">
        <f>AD84+AF84</f>
        <v>9</v>
      </c>
      <c r="AI84" s="1194"/>
      <c r="AJ84" s="378"/>
      <c r="AK84" s="378"/>
      <c r="AL84" s="378"/>
      <c r="AM84" s="378"/>
    </row>
    <row r="85" spans="1:39" ht="13.5" customHeight="1">
      <c r="A85" s="375" t="s">
        <v>639</v>
      </c>
      <c r="B85" s="375" t="str">
        <f t="shared" si="25"/>
        <v>PERPIGNAN</v>
      </c>
      <c r="C85" s="375" t="str">
        <f t="shared" si="24"/>
        <v xml:space="preserve"> </v>
      </c>
      <c r="D85" s="397" t="s">
        <v>446</v>
      </c>
      <c r="E85" s="393">
        <v>4</v>
      </c>
      <c r="F85" s="393">
        <v>4</v>
      </c>
      <c r="G85" s="393">
        <v>1</v>
      </c>
      <c r="H85" s="393">
        <v>1</v>
      </c>
      <c r="I85" s="393">
        <v>5</v>
      </c>
      <c r="J85" s="393">
        <v>4</v>
      </c>
      <c r="K85" s="393">
        <v>4</v>
      </c>
      <c r="L85" s="393">
        <v>4</v>
      </c>
      <c r="M85" s="393">
        <v>3</v>
      </c>
      <c r="N85" s="393">
        <v>3</v>
      </c>
      <c r="O85" s="393">
        <v>7</v>
      </c>
      <c r="P85" s="393">
        <v>7</v>
      </c>
      <c r="Q85" s="393"/>
      <c r="R85" s="393"/>
      <c r="S85" s="393">
        <v>2</v>
      </c>
      <c r="T85" s="393">
        <v>2</v>
      </c>
      <c r="U85" s="393">
        <v>2</v>
      </c>
      <c r="V85" s="393">
        <v>2</v>
      </c>
      <c r="W85" s="393"/>
      <c r="X85" s="393"/>
      <c r="Y85" s="393"/>
      <c r="Z85" s="393"/>
      <c r="AA85" s="393"/>
      <c r="AB85" s="393">
        <v>0</v>
      </c>
      <c r="AC85" s="868">
        <f t="shared" si="21"/>
        <v>8</v>
      </c>
      <c r="AD85" s="868">
        <f t="shared" si="21"/>
        <v>8</v>
      </c>
      <c r="AE85" s="868">
        <f t="shared" si="21"/>
        <v>6</v>
      </c>
      <c r="AF85" s="868">
        <f t="shared" si="21"/>
        <v>6</v>
      </c>
      <c r="AG85" s="868">
        <f t="shared" si="22"/>
        <v>14</v>
      </c>
      <c r="AH85" s="869">
        <f t="shared" si="22"/>
        <v>14</v>
      </c>
      <c r="AI85" s="1194"/>
      <c r="AJ85" s="378"/>
      <c r="AK85" s="378"/>
      <c r="AL85" s="378"/>
      <c r="AM85" s="378"/>
    </row>
    <row r="86" spans="1:39" ht="13.5" customHeight="1">
      <c r="D86" s="1544" t="s">
        <v>447</v>
      </c>
      <c r="E86" s="392"/>
      <c r="F86" s="392"/>
      <c r="G86" s="392"/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392"/>
      <c r="V86" s="392"/>
      <c r="W86" s="392"/>
      <c r="X86" s="392"/>
      <c r="Y86" s="392"/>
      <c r="Z86" s="392"/>
      <c r="AA86" s="392"/>
      <c r="AB86" s="392"/>
      <c r="AC86" s="1542"/>
      <c r="AD86" s="1542"/>
      <c r="AE86" s="1542"/>
      <c r="AF86" s="1542"/>
      <c r="AG86" s="1542"/>
      <c r="AH86" s="1543"/>
      <c r="AI86" s="1194"/>
      <c r="AJ86" s="378"/>
      <c r="AK86" s="378"/>
      <c r="AL86" s="378"/>
      <c r="AM86" s="378"/>
    </row>
    <row r="87" spans="1:39" ht="13.5" customHeight="1">
      <c r="B87" s="375" t="str">
        <f t="shared" si="25"/>
        <v/>
      </c>
      <c r="C87" s="375" t="str">
        <f t="shared" si="24"/>
        <v>ach</v>
      </c>
      <c r="D87" s="399" t="s">
        <v>448</v>
      </c>
      <c r="E87" s="389">
        <f t="shared" ref="E87:AH87" si="27">SUM(E81:E85)</f>
        <v>21</v>
      </c>
      <c r="F87" s="389">
        <f t="shared" si="27"/>
        <v>20</v>
      </c>
      <c r="G87" s="389">
        <f t="shared" si="27"/>
        <v>8</v>
      </c>
      <c r="H87" s="389">
        <f t="shared" si="27"/>
        <v>7</v>
      </c>
      <c r="I87" s="389">
        <f t="shared" si="27"/>
        <v>29</v>
      </c>
      <c r="J87" s="389">
        <f t="shared" si="27"/>
        <v>25</v>
      </c>
      <c r="K87" s="389">
        <f t="shared" si="27"/>
        <v>33</v>
      </c>
      <c r="L87" s="389">
        <f t="shared" si="27"/>
        <v>33</v>
      </c>
      <c r="M87" s="389">
        <f t="shared" si="27"/>
        <v>11</v>
      </c>
      <c r="N87" s="389">
        <f t="shared" si="27"/>
        <v>10</v>
      </c>
      <c r="O87" s="389">
        <f t="shared" si="27"/>
        <v>44</v>
      </c>
      <c r="P87" s="389">
        <f t="shared" si="27"/>
        <v>43</v>
      </c>
      <c r="Q87" s="389">
        <f t="shared" si="27"/>
        <v>16</v>
      </c>
      <c r="R87" s="389">
        <f t="shared" si="27"/>
        <v>16</v>
      </c>
      <c r="S87" s="389">
        <f t="shared" si="27"/>
        <v>13</v>
      </c>
      <c r="T87" s="389">
        <f t="shared" si="27"/>
        <v>13</v>
      </c>
      <c r="U87" s="389">
        <f t="shared" si="27"/>
        <v>29</v>
      </c>
      <c r="V87" s="389">
        <f t="shared" si="27"/>
        <v>27</v>
      </c>
      <c r="W87" s="389">
        <f t="shared" si="27"/>
        <v>4</v>
      </c>
      <c r="X87" s="389">
        <f t="shared" si="27"/>
        <v>4</v>
      </c>
      <c r="Y87" s="389">
        <f t="shared" si="27"/>
        <v>4</v>
      </c>
      <c r="Z87" s="389">
        <f t="shared" si="27"/>
        <v>4</v>
      </c>
      <c r="AA87" s="389">
        <f t="shared" si="27"/>
        <v>8</v>
      </c>
      <c r="AB87" s="389">
        <f t="shared" si="27"/>
        <v>8</v>
      </c>
      <c r="AC87" s="389">
        <f t="shared" si="27"/>
        <v>74</v>
      </c>
      <c r="AD87" s="389">
        <f t="shared" si="27"/>
        <v>73</v>
      </c>
      <c r="AE87" s="389">
        <f t="shared" si="27"/>
        <v>36</v>
      </c>
      <c r="AF87" s="389">
        <f t="shared" si="27"/>
        <v>34</v>
      </c>
      <c r="AG87" s="389">
        <f t="shared" si="27"/>
        <v>110</v>
      </c>
      <c r="AH87" s="1179">
        <f t="shared" si="27"/>
        <v>107</v>
      </c>
      <c r="AI87" s="1194"/>
      <c r="AJ87" s="378"/>
      <c r="AK87" s="378"/>
      <c r="AL87" s="378"/>
      <c r="AM87" s="378"/>
    </row>
    <row r="88" spans="1:39" ht="13.5" customHeight="1">
      <c r="A88" s="375" t="s">
        <v>640</v>
      </c>
      <c r="B88" s="375" t="str">
        <f t="shared" si="25"/>
        <v>NANCY UNIVERSITE</v>
      </c>
      <c r="C88" s="375" t="str">
        <f t="shared" si="24"/>
        <v>ach</v>
      </c>
      <c r="D88" s="403" t="s">
        <v>722</v>
      </c>
      <c r="E88" s="391">
        <v>11</v>
      </c>
      <c r="F88" s="391">
        <v>11</v>
      </c>
      <c r="G88" s="391">
        <v>4</v>
      </c>
      <c r="H88" s="391">
        <v>3</v>
      </c>
      <c r="I88" s="391">
        <v>15</v>
      </c>
      <c r="J88" s="391">
        <v>12</v>
      </c>
      <c r="K88" s="391">
        <v>20</v>
      </c>
      <c r="L88" s="391">
        <v>19</v>
      </c>
      <c r="M88" s="391">
        <v>13</v>
      </c>
      <c r="N88" s="391">
        <v>12</v>
      </c>
      <c r="O88" s="391">
        <v>33</v>
      </c>
      <c r="P88" s="391">
        <v>31</v>
      </c>
      <c r="Q88" s="391">
        <v>13</v>
      </c>
      <c r="R88" s="391">
        <v>13</v>
      </c>
      <c r="S88" s="391">
        <v>16</v>
      </c>
      <c r="T88" s="391">
        <v>16</v>
      </c>
      <c r="U88" s="391">
        <v>29</v>
      </c>
      <c r="V88" s="391">
        <v>29</v>
      </c>
      <c r="W88" s="391">
        <v>5</v>
      </c>
      <c r="X88" s="391">
        <v>5</v>
      </c>
      <c r="Y88" s="391"/>
      <c r="Z88" s="391"/>
      <c r="AA88" s="391">
        <v>5</v>
      </c>
      <c r="AB88" s="391">
        <v>5</v>
      </c>
      <c r="AC88" s="878">
        <f t="shared" si="21"/>
        <v>49</v>
      </c>
      <c r="AD88" s="878">
        <f t="shared" si="21"/>
        <v>48</v>
      </c>
      <c r="AE88" s="878">
        <f t="shared" si="21"/>
        <v>33</v>
      </c>
      <c r="AF88" s="878">
        <f t="shared" si="21"/>
        <v>31</v>
      </c>
      <c r="AG88" s="878">
        <f t="shared" si="22"/>
        <v>82</v>
      </c>
      <c r="AH88" s="879">
        <f t="shared" si="22"/>
        <v>79</v>
      </c>
      <c r="AI88" s="1194"/>
      <c r="AJ88" s="378"/>
      <c r="AK88" s="378"/>
      <c r="AL88" s="378"/>
      <c r="AM88" s="378"/>
    </row>
    <row r="89" spans="1:39" ht="13.5" customHeight="1">
      <c r="D89" s="1545" t="s">
        <v>449</v>
      </c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394"/>
      <c r="Y89" s="394"/>
      <c r="Z89" s="394"/>
      <c r="AA89" s="394"/>
      <c r="AB89" s="394"/>
      <c r="AC89" s="874"/>
      <c r="AD89" s="874"/>
      <c r="AE89" s="874"/>
      <c r="AF89" s="874"/>
      <c r="AG89" s="874"/>
      <c r="AH89" s="875"/>
      <c r="AI89" s="1194"/>
      <c r="AJ89" s="378"/>
      <c r="AK89" s="378"/>
      <c r="AL89" s="378"/>
      <c r="AM89" s="378"/>
    </row>
    <row r="90" spans="1:39" ht="13.5" customHeight="1">
      <c r="B90" s="375" t="str">
        <f t="shared" si="25"/>
        <v/>
      </c>
      <c r="C90" s="375" t="str">
        <f t="shared" si="24"/>
        <v>ach</v>
      </c>
      <c r="D90" s="399" t="s">
        <v>450</v>
      </c>
      <c r="E90" s="389">
        <f t="shared" ref="E90:AH90" si="28">SUM(E88:E88)</f>
        <v>11</v>
      </c>
      <c r="F90" s="389">
        <f t="shared" si="28"/>
        <v>11</v>
      </c>
      <c r="G90" s="389">
        <f t="shared" si="28"/>
        <v>4</v>
      </c>
      <c r="H90" s="389">
        <f t="shared" si="28"/>
        <v>3</v>
      </c>
      <c r="I90" s="389">
        <f t="shared" si="28"/>
        <v>15</v>
      </c>
      <c r="J90" s="389">
        <f t="shared" si="28"/>
        <v>12</v>
      </c>
      <c r="K90" s="389">
        <f t="shared" si="28"/>
        <v>20</v>
      </c>
      <c r="L90" s="389">
        <f t="shared" si="28"/>
        <v>19</v>
      </c>
      <c r="M90" s="389">
        <f t="shared" si="28"/>
        <v>13</v>
      </c>
      <c r="N90" s="389">
        <f t="shared" si="28"/>
        <v>12</v>
      </c>
      <c r="O90" s="389">
        <f t="shared" si="28"/>
        <v>33</v>
      </c>
      <c r="P90" s="389">
        <f t="shared" si="28"/>
        <v>31</v>
      </c>
      <c r="Q90" s="389">
        <f t="shared" si="28"/>
        <v>13</v>
      </c>
      <c r="R90" s="389">
        <f t="shared" si="28"/>
        <v>13</v>
      </c>
      <c r="S90" s="389">
        <f t="shared" si="28"/>
        <v>16</v>
      </c>
      <c r="T90" s="389">
        <f t="shared" si="28"/>
        <v>16</v>
      </c>
      <c r="U90" s="389">
        <f t="shared" si="28"/>
        <v>29</v>
      </c>
      <c r="V90" s="389">
        <f t="shared" si="28"/>
        <v>29</v>
      </c>
      <c r="W90" s="389">
        <f t="shared" si="28"/>
        <v>5</v>
      </c>
      <c r="X90" s="389">
        <f t="shared" si="28"/>
        <v>5</v>
      </c>
      <c r="Y90" s="389">
        <f t="shared" si="28"/>
        <v>0</v>
      </c>
      <c r="Z90" s="389">
        <f t="shared" si="28"/>
        <v>0</v>
      </c>
      <c r="AA90" s="389">
        <f t="shared" si="28"/>
        <v>5</v>
      </c>
      <c r="AB90" s="389">
        <f t="shared" si="28"/>
        <v>5</v>
      </c>
      <c r="AC90" s="389">
        <f t="shared" si="28"/>
        <v>49</v>
      </c>
      <c r="AD90" s="389">
        <f t="shared" si="28"/>
        <v>48</v>
      </c>
      <c r="AE90" s="389">
        <f t="shared" si="28"/>
        <v>33</v>
      </c>
      <c r="AF90" s="389">
        <f t="shared" si="28"/>
        <v>31</v>
      </c>
      <c r="AG90" s="389">
        <f t="shared" si="28"/>
        <v>82</v>
      </c>
      <c r="AH90" s="1179">
        <f t="shared" si="28"/>
        <v>79</v>
      </c>
      <c r="AI90" s="1194"/>
      <c r="AJ90" s="378"/>
      <c r="AK90" s="378"/>
      <c r="AL90" s="378"/>
      <c r="AM90" s="378"/>
    </row>
    <row r="91" spans="1:39" ht="13.5" customHeight="1">
      <c r="A91" s="375" t="s">
        <v>641</v>
      </c>
      <c r="B91" s="375" t="str">
        <f t="shared" si="25"/>
        <v>NANTES</v>
      </c>
      <c r="C91" s="375" t="str">
        <f t="shared" si="24"/>
        <v xml:space="preserve"> </v>
      </c>
      <c r="D91" s="403" t="s">
        <v>182</v>
      </c>
      <c r="E91" s="391">
        <v>6</v>
      </c>
      <c r="F91" s="391">
        <v>6</v>
      </c>
      <c r="G91" s="391">
        <v>3</v>
      </c>
      <c r="H91" s="391">
        <v>3</v>
      </c>
      <c r="I91" s="391">
        <v>9</v>
      </c>
      <c r="J91" s="391">
        <v>8</v>
      </c>
      <c r="K91" s="391">
        <v>8</v>
      </c>
      <c r="L91" s="391">
        <v>8</v>
      </c>
      <c r="M91" s="391">
        <v>8</v>
      </c>
      <c r="N91" s="391">
        <v>6</v>
      </c>
      <c r="O91" s="391">
        <v>16</v>
      </c>
      <c r="P91" s="391">
        <v>14</v>
      </c>
      <c r="Q91" s="391">
        <v>8</v>
      </c>
      <c r="R91" s="391">
        <v>8</v>
      </c>
      <c r="S91" s="391">
        <v>2</v>
      </c>
      <c r="T91" s="391">
        <v>2</v>
      </c>
      <c r="U91" s="391">
        <v>10</v>
      </c>
      <c r="V91" s="391">
        <v>10</v>
      </c>
      <c r="W91" s="391">
        <v>1</v>
      </c>
      <c r="X91" s="391">
        <v>1</v>
      </c>
      <c r="Y91" s="391">
        <v>1</v>
      </c>
      <c r="Z91" s="391">
        <v>1</v>
      </c>
      <c r="AA91" s="391">
        <v>2</v>
      </c>
      <c r="AB91" s="391">
        <v>2</v>
      </c>
      <c r="AC91" s="878">
        <f t="shared" si="21"/>
        <v>23</v>
      </c>
      <c r="AD91" s="878">
        <f t="shared" si="21"/>
        <v>23</v>
      </c>
      <c r="AE91" s="878">
        <f t="shared" si="21"/>
        <v>14</v>
      </c>
      <c r="AF91" s="878">
        <f t="shared" si="21"/>
        <v>12</v>
      </c>
      <c r="AG91" s="878">
        <f t="shared" si="22"/>
        <v>37</v>
      </c>
      <c r="AH91" s="879">
        <f t="shared" si="22"/>
        <v>35</v>
      </c>
      <c r="AI91" s="1194"/>
      <c r="AJ91" s="378"/>
      <c r="AK91" s="378"/>
      <c r="AL91" s="378"/>
      <c r="AM91" s="378"/>
    </row>
    <row r="92" spans="1:39" ht="13.5" customHeight="1">
      <c r="A92" s="375" t="s">
        <v>642</v>
      </c>
      <c r="B92" s="375" t="str">
        <f t="shared" si="25"/>
        <v>LE MANS</v>
      </c>
      <c r="C92" s="375" t="str">
        <f t="shared" si="24"/>
        <v xml:space="preserve"> </v>
      </c>
      <c r="D92" s="397" t="s">
        <v>451</v>
      </c>
      <c r="E92" s="393">
        <v>2</v>
      </c>
      <c r="F92" s="393">
        <v>2</v>
      </c>
      <c r="G92" s="393">
        <v>1</v>
      </c>
      <c r="H92" s="393">
        <v>1</v>
      </c>
      <c r="I92" s="393">
        <v>3</v>
      </c>
      <c r="J92" s="393">
        <v>3</v>
      </c>
      <c r="K92" s="393">
        <v>5</v>
      </c>
      <c r="L92" s="393">
        <v>5</v>
      </c>
      <c r="M92" s="393"/>
      <c r="N92" s="393"/>
      <c r="O92" s="393">
        <v>5</v>
      </c>
      <c r="P92" s="393">
        <v>5</v>
      </c>
      <c r="Q92" s="393">
        <v>5</v>
      </c>
      <c r="R92" s="393">
        <v>5</v>
      </c>
      <c r="S92" s="393"/>
      <c r="T92" s="393"/>
      <c r="U92" s="393">
        <v>5</v>
      </c>
      <c r="V92" s="393">
        <v>5</v>
      </c>
      <c r="W92" s="393"/>
      <c r="X92" s="393"/>
      <c r="Y92" s="393"/>
      <c r="Z92" s="393"/>
      <c r="AA92" s="393"/>
      <c r="AB92" s="393">
        <v>0</v>
      </c>
      <c r="AC92" s="868">
        <f t="shared" si="21"/>
        <v>12</v>
      </c>
      <c r="AD92" s="868">
        <f t="shared" si="21"/>
        <v>12</v>
      </c>
      <c r="AE92" s="868">
        <f t="shared" si="21"/>
        <v>1</v>
      </c>
      <c r="AF92" s="868">
        <f t="shared" si="21"/>
        <v>1</v>
      </c>
      <c r="AG92" s="868">
        <f t="shared" si="22"/>
        <v>13</v>
      </c>
      <c r="AH92" s="869">
        <f t="shared" si="22"/>
        <v>13</v>
      </c>
      <c r="AI92" s="1194"/>
      <c r="AJ92" s="378"/>
      <c r="AK92" s="378"/>
      <c r="AL92" s="378"/>
      <c r="AM92" s="378"/>
    </row>
    <row r="93" spans="1:39" ht="13.5" customHeight="1">
      <c r="A93" s="375" t="s">
        <v>643</v>
      </c>
      <c r="B93" s="375" t="str">
        <f t="shared" si="25"/>
        <v>ANGERS</v>
      </c>
      <c r="C93" s="375" t="str">
        <f t="shared" si="24"/>
        <v xml:space="preserve"> </v>
      </c>
      <c r="D93" s="397" t="s">
        <v>452</v>
      </c>
      <c r="E93" s="393">
        <v>3</v>
      </c>
      <c r="F93" s="393">
        <v>3</v>
      </c>
      <c r="G93" s="393">
        <v>2</v>
      </c>
      <c r="H93" s="393">
        <v>2</v>
      </c>
      <c r="I93" s="393">
        <v>5</v>
      </c>
      <c r="J93" s="393">
        <v>4</v>
      </c>
      <c r="K93" s="393">
        <v>5</v>
      </c>
      <c r="L93" s="393">
        <v>4</v>
      </c>
      <c r="M93" s="393">
        <v>2</v>
      </c>
      <c r="N93" s="393">
        <v>2</v>
      </c>
      <c r="O93" s="393">
        <v>7</v>
      </c>
      <c r="P93" s="393">
        <v>6</v>
      </c>
      <c r="Q93" s="393">
        <v>10</v>
      </c>
      <c r="R93" s="393">
        <v>9</v>
      </c>
      <c r="S93" s="393">
        <v>2</v>
      </c>
      <c r="T93" s="393">
        <v>1</v>
      </c>
      <c r="U93" s="393">
        <v>12</v>
      </c>
      <c r="V93" s="393">
        <v>10</v>
      </c>
      <c r="W93" s="393">
        <v>2</v>
      </c>
      <c r="X93" s="393">
        <v>1</v>
      </c>
      <c r="Y93" s="393">
        <v>1</v>
      </c>
      <c r="Z93" s="393">
        <v>1</v>
      </c>
      <c r="AA93" s="393">
        <v>3</v>
      </c>
      <c r="AB93" s="393">
        <v>2</v>
      </c>
      <c r="AC93" s="868">
        <f t="shared" si="21"/>
        <v>20</v>
      </c>
      <c r="AD93" s="868">
        <f t="shared" si="21"/>
        <v>17</v>
      </c>
      <c r="AE93" s="868">
        <f t="shared" si="21"/>
        <v>7</v>
      </c>
      <c r="AF93" s="868">
        <f t="shared" si="21"/>
        <v>6</v>
      </c>
      <c r="AG93" s="868">
        <f t="shared" si="22"/>
        <v>27</v>
      </c>
      <c r="AH93" s="869">
        <f t="shared" si="22"/>
        <v>23</v>
      </c>
      <c r="AI93" s="1194"/>
      <c r="AJ93" s="378"/>
      <c r="AK93" s="378"/>
      <c r="AL93" s="378"/>
      <c r="AM93" s="378"/>
    </row>
    <row r="94" spans="1:39" ht="13.5" customHeight="1">
      <c r="A94" s="375" t="s">
        <v>644</v>
      </c>
      <c r="B94" s="375" t="str">
        <f t="shared" si="25"/>
        <v>NANTES EC. CENTRALE</v>
      </c>
      <c r="C94" s="375" t="str">
        <f t="shared" si="24"/>
        <v>ach</v>
      </c>
      <c r="D94" s="398" t="s">
        <v>503</v>
      </c>
      <c r="E94" s="381"/>
      <c r="F94" s="381"/>
      <c r="G94" s="381"/>
      <c r="H94" s="381"/>
      <c r="I94" s="381"/>
      <c r="J94" s="381">
        <v>0</v>
      </c>
      <c r="K94" s="381"/>
      <c r="L94" s="381"/>
      <c r="M94" s="381"/>
      <c r="N94" s="381"/>
      <c r="O94" s="381"/>
      <c r="P94" s="381">
        <v>0</v>
      </c>
      <c r="Q94" s="381">
        <v>1</v>
      </c>
      <c r="R94" s="381"/>
      <c r="S94" s="381"/>
      <c r="T94" s="381"/>
      <c r="U94" s="381">
        <v>1</v>
      </c>
      <c r="V94" s="381">
        <v>0</v>
      </c>
      <c r="W94" s="381"/>
      <c r="X94" s="381"/>
      <c r="Y94" s="381"/>
      <c r="Z94" s="381"/>
      <c r="AA94" s="381"/>
      <c r="AB94" s="381">
        <v>0</v>
      </c>
      <c r="AC94" s="870">
        <f t="shared" si="21"/>
        <v>1</v>
      </c>
      <c r="AD94" s="870">
        <f t="shared" si="21"/>
        <v>0</v>
      </c>
      <c r="AE94" s="870">
        <f t="shared" si="21"/>
        <v>0</v>
      </c>
      <c r="AF94" s="870">
        <f t="shared" si="21"/>
        <v>0</v>
      </c>
      <c r="AG94" s="870">
        <f t="shared" si="22"/>
        <v>1</v>
      </c>
      <c r="AH94" s="871">
        <f t="shared" si="22"/>
        <v>0</v>
      </c>
      <c r="AI94" s="1194"/>
      <c r="AJ94" s="378"/>
      <c r="AK94" s="378"/>
      <c r="AL94" s="378"/>
      <c r="AM94" s="378"/>
    </row>
    <row r="95" spans="1:39" ht="13.5" customHeight="1">
      <c r="B95" s="375" t="str">
        <f t="shared" si="25"/>
        <v/>
      </c>
      <c r="C95" s="375" t="str">
        <f t="shared" si="24"/>
        <v>ach</v>
      </c>
      <c r="D95" s="399" t="s">
        <v>453</v>
      </c>
      <c r="E95" s="389">
        <f>SUM(E91:E94)</f>
        <v>11</v>
      </c>
      <c r="F95" s="389">
        <f t="shared" ref="F95:AH95" si="29">SUM(F91:F94)</f>
        <v>11</v>
      </c>
      <c r="G95" s="389">
        <f t="shared" si="29"/>
        <v>6</v>
      </c>
      <c r="H95" s="389">
        <f t="shared" si="29"/>
        <v>6</v>
      </c>
      <c r="I95" s="389">
        <f t="shared" si="29"/>
        <v>17</v>
      </c>
      <c r="J95" s="389">
        <f t="shared" si="29"/>
        <v>15</v>
      </c>
      <c r="K95" s="389">
        <f t="shared" si="29"/>
        <v>18</v>
      </c>
      <c r="L95" s="389">
        <f t="shared" si="29"/>
        <v>17</v>
      </c>
      <c r="M95" s="389">
        <f t="shared" si="29"/>
        <v>10</v>
      </c>
      <c r="N95" s="389">
        <f t="shared" si="29"/>
        <v>8</v>
      </c>
      <c r="O95" s="389">
        <f t="shared" si="29"/>
        <v>28</v>
      </c>
      <c r="P95" s="389">
        <f t="shared" si="29"/>
        <v>25</v>
      </c>
      <c r="Q95" s="389">
        <f t="shared" si="29"/>
        <v>24</v>
      </c>
      <c r="R95" s="389">
        <f t="shared" si="29"/>
        <v>22</v>
      </c>
      <c r="S95" s="389">
        <f t="shared" si="29"/>
        <v>4</v>
      </c>
      <c r="T95" s="389">
        <f t="shared" si="29"/>
        <v>3</v>
      </c>
      <c r="U95" s="389">
        <f t="shared" si="29"/>
        <v>28</v>
      </c>
      <c r="V95" s="389">
        <f t="shared" si="29"/>
        <v>25</v>
      </c>
      <c r="W95" s="389">
        <f t="shared" si="29"/>
        <v>3</v>
      </c>
      <c r="X95" s="389">
        <f t="shared" si="29"/>
        <v>2</v>
      </c>
      <c r="Y95" s="389">
        <f t="shared" si="29"/>
        <v>2</v>
      </c>
      <c r="Z95" s="389">
        <f t="shared" si="29"/>
        <v>2</v>
      </c>
      <c r="AA95" s="389">
        <f t="shared" si="29"/>
        <v>5</v>
      </c>
      <c r="AB95" s="389">
        <f t="shared" si="29"/>
        <v>4</v>
      </c>
      <c r="AC95" s="389">
        <f t="shared" si="29"/>
        <v>56</v>
      </c>
      <c r="AD95" s="389">
        <f t="shared" si="29"/>
        <v>52</v>
      </c>
      <c r="AE95" s="389">
        <f t="shared" si="29"/>
        <v>22</v>
      </c>
      <c r="AF95" s="389">
        <f t="shared" si="29"/>
        <v>19</v>
      </c>
      <c r="AG95" s="389">
        <f t="shared" si="29"/>
        <v>78</v>
      </c>
      <c r="AH95" s="1179">
        <f t="shared" si="29"/>
        <v>71</v>
      </c>
      <c r="AI95" s="1194"/>
      <c r="AJ95" s="378"/>
      <c r="AK95" s="378"/>
      <c r="AL95" s="378"/>
      <c r="AM95" s="378"/>
    </row>
    <row r="96" spans="1:39" ht="13.5" customHeight="1">
      <c r="A96" s="375" t="s">
        <v>645</v>
      </c>
      <c r="B96" s="375" t="str">
        <f t="shared" si="25"/>
        <v>NICE</v>
      </c>
      <c r="C96" s="375" t="str">
        <f t="shared" si="24"/>
        <v xml:space="preserve"> </v>
      </c>
      <c r="D96" s="403" t="s">
        <v>183</v>
      </c>
      <c r="E96" s="391">
        <v>8</v>
      </c>
      <c r="F96" s="391">
        <v>8</v>
      </c>
      <c r="G96" s="391">
        <v>6</v>
      </c>
      <c r="H96" s="391">
        <v>4</v>
      </c>
      <c r="I96" s="391">
        <v>14</v>
      </c>
      <c r="J96" s="391">
        <v>11</v>
      </c>
      <c r="K96" s="391">
        <v>10</v>
      </c>
      <c r="L96" s="391">
        <v>9</v>
      </c>
      <c r="M96" s="391">
        <v>7</v>
      </c>
      <c r="N96" s="391">
        <v>5</v>
      </c>
      <c r="O96" s="391">
        <v>17</v>
      </c>
      <c r="P96" s="391">
        <v>11</v>
      </c>
      <c r="Q96" s="391">
        <v>8</v>
      </c>
      <c r="R96" s="391">
        <v>7</v>
      </c>
      <c r="S96" s="391">
        <v>6</v>
      </c>
      <c r="T96" s="391">
        <v>6</v>
      </c>
      <c r="U96" s="391">
        <v>14</v>
      </c>
      <c r="V96" s="391">
        <v>13</v>
      </c>
      <c r="W96" s="391"/>
      <c r="X96" s="391"/>
      <c r="Y96" s="391"/>
      <c r="Z96" s="391"/>
      <c r="AA96" s="391"/>
      <c r="AB96" s="391">
        <v>0</v>
      </c>
      <c r="AC96" s="878">
        <f t="shared" si="21"/>
        <v>26</v>
      </c>
      <c r="AD96" s="878">
        <f t="shared" si="21"/>
        <v>24</v>
      </c>
      <c r="AE96" s="878">
        <f t="shared" si="21"/>
        <v>19</v>
      </c>
      <c r="AF96" s="878">
        <f t="shared" si="21"/>
        <v>15</v>
      </c>
      <c r="AG96" s="878">
        <f t="shared" si="22"/>
        <v>45</v>
      </c>
      <c r="AH96" s="879">
        <f t="shared" si="22"/>
        <v>39</v>
      </c>
      <c r="AI96" s="1194"/>
      <c r="AJ96" s="378"/>
      <c r="AK96" s="378"/>
      <c r="AL96" s="378"/>
      <c r="AM96" s="378"/>
    </row>
    <row r="97" spans="1:39" ht="13.5" customHeight="1">
      <c r="A97" s="375" t="s">
        <v>646</v>
      </c>
      <c r="B97" s="375" t="str">
        <f t="shared" si="25"/>
        <v>TOULON</v>
      </c>
      <c r="C97" s="375" t="str">
        <f t="shared" si="24"/>
        <v xml:space="preserve"> </v>
      </c>
      <c r="D97" s="397" t="s">
        <v>454</v>
      </c>
      <c r="E97" s="393">
        <v>5</v>
      </c>
      <c r="F97" s="393">
        <v>5</v>
      </c>
      <c r="G97" s="393">
        <v>1</v>
      </c>
      <c r="H97" s="393"/>
      <c r="I97" s="393">
        <v>6</v>
      </c>
      <c r="J97" s="393">
        <v>5</v>
      </c>
      <c r="K97" s="393">
        <v>3</v>
      </c>
      <c r="L97" s="393">
        <v>3</v>
      </c>
      <c r="M97" s="393">
        <v>1</v>
      </c>
      <c r="N97" s="393">
        <v>1</v>
      </c>
      <c r="O97" s="393">
        <v>4</v>
      </c>
      <c r="P97" s="393">
        <v>4</v>
      </c>
      <c r="Q97" s="393">
        <v>1</v>
      </c>
      <c r="R97" s="393">
        <v>1</v>
      </c>
      <c r="S97" s="393">
        <v>3</v>
      </c>
      <c r="T97" s="393">
        <v>3</v>
      </c>
      <c r="U97" s="393">
        <v>4</v>
      </c>
      <c r="V97" s="393">
        <v>4</v>
      </c>
      <c r="W97" s="393"/>
      <c r="X97" s="393"/>
      <c r="Y97" s="393"/>
      <c r="Z97" s="393"/>
      <c r="AA97" s="393"/>
      <c r="AB97" s="393">
        <v>0</v>
      </c>
      <c r="AC97" s="868">
        <f t="shared" si="21"/>
        <v>9</v>
      </c>
      <c r="AD97" s="868">
        <f t="shared" si="21"/>
        <v>9</v>
      </c>
      <c r="AE97" s="868">
        <f t="shared" si="21"/>
        <v>5</v>
      </c>
      <c r="AF97" s="868">
        <f t="shared" si="21"/>
        <v>4</v>
      </c>
      <c r="AG97" s="868">
        <f t="shared" si="22"/>
        <v>14</v>
      </c>
      <c r="AH97" s="869">
        <f t="shared" si="22"/>
        <v>13</v>
      </c>
      <c r="AI97" s="1194"/>
      <c r="AJ97" s="378"/>
      <c r="AK97" s="378"/>
      <c r="AL97" s="378"/>
      <c r="AM97" s="378"/>
    </row>
    <row r="98" spans="1:39" ht="13.5" customHeight="1">
      <c r="B98" s="375" t="str">
        <f t="shared" si="25"/>
        <v/>
      </c>
      <c r="C98" s="375" t="str">
        <f>IF(B98=D98," ","ach")</f>
        <v>ach</v>
      </c>
      <c r="D98" s="399" t="s">
        <v>455</v>
      </c>
      <c r="E98" s="389">
        <f t="shared" ref="E98:AH98" si="30">SUM(E96:E97)</f>
        <v>13</v>
      </c>
      <c r="F98" s="389">
        <f t="shared" si="30"/>
        <v>13</v>
      </c>
      <c r="G98" s="389">
        <f t="shared" si="30"/>
        <v>7</v>
      </c>
      <c r="H98" s="389">
        <f t="shared" si="30"/>
        <v>4</v>
      </c>
      <c r="I98" s="389">
        <f t="shared" si="30"/>
        <v>20</v>
      </c>
      <c r="J98" s="389">
        <f t="shared" si="30"/>
        <v>16</v>
      </c>
      <c r="K98" s="389">
        <f t="shared" si="30"/>
        <v>13</v>
      </c>
      <c r="L98" s="389">
        <f t="shared" si="30"/>
        <v>12</v>
      </c>
      <c r="M98" s="389">
        <f t="shared" si="30"/>
        <v>8</v>
      </c>
      <c r="N98" s="389">
        <f t="shared" si="30"/>
        <v>6</v>
      </c>
      <c r="O98" s="389">
        <f t="shared" si="30"/>
        <v>21</v>
      </c>
      <c r="P98" s="389">
        <f t="shared" si="30"/>
        <v>15</v>
      </c>
      <c r="Q98" s="389">
        <f t="shared" si="30"/>
        <v>9</v>
      </c>
      <c r="R98" s="389">
        <f t="shared" si="30"/>
        <v>8</v>
      </c>
      <c r="S98" s="389">
        <f t="shared" si="30"/>
        <v>9</v>
      </c>
      <c r="T98" s="389">
        <f t="shared" si="30"/>
        <v>9</v>
      </c>
      <c r="U98" s="389">
        <f t="shared" si="30"/>
        <v>18</v>
      </c>
      <c r="V98" s="389">
        <f t="shared" si="30"/>
        <v>17</v>
      </c>
      <c r="W98" s="389">
        <f t="shared" si="30"/>
        <v>0</v>
      </c>
      <c r="X98" s="389">
        <f t="shared" si="30"/>
        <v>0</v>
      </c>
      <c r="Y98" s="389">
        <f t="shared" si="30"/>
        <v>0</v>
      </c>
      <c r="Z98" s="389">
        <f t="shared" si="30"/>
        <v>0</v>
      </c>
      <c r="AA98" s="389">
        <f t="shared" si="30"/>
        <v>0</v>
      </c>
      <c r="AB98" s="389">
        <f t="shared" si="30"/>
        <v>0</v>
      </c>
      <c r="AC98" s="389">
        <f t="shared" si="30"/>
        <v>35</v>
      </c>
      <c r="AD98" s="389">
        <f t="shared" si="30"/>
        <v>33</v>
      </c>
      <c r="AE98" s="389">
        <f t="shared" si="30"/>
        <v>24</v>
      </c>
      <c r="AF98" s="389">
        <f t="shared" si="30"/>
        <v>19</v>
      </c>
      <c r="AG98" s="389">
        <f t="shared" si="30"/>
        <v>59</v>
      </c>
      <c r="AH98" s="1179">
        <f t="shared" si="30"/>
        <v>52</v>
      </c>
      <c r="AI98" s="1194"/>
      <c r="AJ98" s="378"/>
      <c r="AK98" s="378"/>
      <c r="AL98" s="378"/>
      <c r="AM98" s="378"/>
    </row>
    <row r="99" spans="1:39" ht="13.5" customHeight="1">
      <c r="A99" s="375" t="s">
        <v>647</v>
      </c>
      <c r="B99" s="375" t="str">
        <f t="shared" si="25"/>
        <v>ORLEANS</v>
      </c>
      <c r="C99" s="375" t="str">
        <f>IF(B99=D99," ","ach")</f>
        <v xml:space="preserve"> </v>
      </c>
      <c r="D99" s="403" t="s">
        <v>456</v>
      </c>
      <c r="E99" s="391">
        <v>5</v>
      </c>
      <c r="F99" s="391">
        <v>5</v>
      </c>
      <c r="G99" s="391">
        <v>2</v>
      </c>
      <c r="H99" s="391">
        <v>1</v>
      </c>
      <c r="I99" s="391">
        <v>7</v>
      </c>
      <c r="J99" s="391">
        <v>5</v>
      </c>
      <c r="K99" s="391">
        <v>2</v>
      </c>
      <c r="L99" s="391">
        <v>2</v>
      </c>
      <c r="M99" s="391">
        <v>1</v>
      </c>
      <c r="N99" s="391">
        <v>1</v>
      </c>
      <c r="O99" s="391">
        <v>3</v>
      </c>
      <c r="P99" s="391">
        <v>3</v>
      </c>
      <c r="Q99" s="391">
        <v>9</v>
      </c>
      <c r="R99" s="391">
        <v>9</v>
      </c>
      <c r="S99" s="391">
        <v>6</v>
      </c>
      <c r="T99" s="391">
        <v>6</v>
      </c>
      <c r="U99" s="391">
        <v>15</v>
      </c>
      <c r="V99" s="391">
        <v>15</v>
      </c>
      <c r="W99" s="391"/>
      <c r="X99" s="391"/>
      <c r="Y99" s="391"/>
      <c r="Z99" s="391"/>
      <c r="AA99" s="391"/>
      <c r="AB99" s="391">
        <v>0</v>
      </c>
      <c r="AC99" s="878">
        <f t="shared" si="21"/>
        <v>16</v>
      </c>
      <c r="AD99" s="878">
        <f t="shared" si="21"/>
        <v>16</v>
      </c>
      <c r="AE99" s="878">
        <f t="shared" si="21"/>
        <v>9</v>
      </c>
      <c r="AF99" s="878">
        <f t="shared" si="21"/>
        <v>8</v>
      </c>
      <c r="AG99" s="878">
        <f t="shared" si="22"/>
        <v>25</v>
      </c>
      <c r="AH99" s="879">
        <f t="shared" si="22"/>
        <v>24</v>
      </c>
      <c r="AI99" s="1194"/>
      <c r="AJ99" s="378"/>
      <c r="AK99" s="378"/>
      <c r="AL99" s="378"/>
      <c r="AM99" s="378"/>
    </row>
    <row r="100" spans="1:39" ht="13.5" customHeight="1">
      <c r="A100" s="375" t="s">
        <v>648</v>
      </c>
      <c r="B100" s="375" t="str">
        <f t="shared" si="25"/>
        <v>TOURS</v>
      </c>
      <c r="C100" s="375" t="str">
        <f>IF(B100=D100," ","ach")</f>
        <v xml:space="preserve"> </v>
      </c>
      <c r="D100" s="397" t="s">
        <v>457</v>
      </c>
      <c r="E100" s="393">
        <v>3</v>
      </c>
      <c r="F100" s="393">
        <v>3</v>
      </c>
      <c r="G100" s="393">
        <v>2</v>
      </c>
      <c r="H100" s="393">
        <v>1</v>
      </c>
      <c r="I100" s="393">
        <v>5</v>
      </c>
      <c r="J100" s="393">
        <v>4</v>
      </c>
      <c r="K100" s="393">
        <v>11</v>
      </c>
      <c r="L100" s="393">
        <v>11</v>
      </c>
      <c r="M100" s="393">
        <v>2</v>
      </c>
      <c r="N100" s="393">
        <v>1</v>
      </c>
      <c r="O100" s="393">
        <v>13</v>
      </c>
      <c r="P100" s="393">
        <v>12</v>
      </c>
      <c r="Q100" s="393">
        <v>7</v>
      </c>
      <c r="R100" s="393">
        <v>7</v>
      </c>
      <c r="S100" s="393">
        <v>3</v>
      </c>
      <c r="T100" s="393">
        <v>2</v>
      </c>
      <c r="U100" s="393">
        <v>10</v>
      </c>
      <c r="V100" s="393">
        <v>9</v>
      </c>
      <c r="W100" s="393">
        <v>2</v>
      </c>
      <c r="X100" s="393">
        <v>2</v>
      </c>
      <c r="Y100" s="393">
        <v>1</v>
      </c>
      <c r="Z100" s="393">
        <v>1</v>
      </c>
      <c r="AA100" s="393">
        <v>3</v>
      </c>
      <c r="AB100" s="393">
        <v>3</v>
      </c>
      <c r="AC100" s="868">
        <f t="shared" si="21"/>
        <v>23</v>
      </c>
      <c r="AD100" s="868">
        <f t="shared" si="21"/>
        <v>23</v>
      </c>
      <c r="AE100" s="868">
        <f t="shared" si="21"/>
        <v>8</v>
      </c>
      <c r="AF100" s="868">
        <f t="shared" si="21"/>
        <v>5</v>
      </c>
      <c r="AG100" s="868">
        <f t="shared" si="22"/>
        <v>31</v>
      </c>
      <c r="AH100" s="869">
        <f t="shared" si="22"/>
        <v>28</v>
      </c>
      <c r="AI100" s="1194"/>
      <c r="AJ100" s="378"/>
      <c r="AK100" s="378"/>
      <c r="AL100" s="378"/>
      <c r="AM100" s="378"/>
    </row>
    <row r="101" spans="1:39" ht="13.5" customHeight="1">
      <c r="D101" s="1544" t="s">
        <v>701</v>
      </c>
      <c r="E101" s="393"/>
      <c r="F101" s="393"/>
      <c r="G101" s="393"/>
      <c r="H101" s="393"/>
      <c r="I101" s="393"/>
      <c r="J101" s="393"/>
      <c r="K101" s="393"/>
      <c r="L101" s="393"/>
      <c r="M101" s="393"/>
      <c r="N101" s="393"/>
      <c r="O101" s="393"/>
      <c r="P101" s="393"/>
      <c r="Q101" s="393"/>
      <c r="R101" s="393"/>
      <c r="S101" s="393"/>
      <c r="T101" s="393"/>
      <c r="U101" s="393"/>
      <c r="V101" s="393"/>
      <c r="W101" s="393"/>
      <c r="X101" s="393"/>
      <c r="Y101" s="393"/>
      <c r="Z101" s="393"/>
      <c r="AA101" s="393"/>
      <c r="AB101" s="393"/>
      <c r="AC101" s="868"/>
      <c r="AD101" s="868"/>
      <c r="AE101" s="868"/>
      <c r="AF101" s="868"/>
      <c r="AG101" s="868"/>
      <c r="AH101" s="869"/>
      <c r="AI101" s="1194"/>
      <c r="AJ101" s="378"/>
      <c r="AK101" s="378"/>
      <c r="AL101" s="378"/>
      <c r="AM101" s="378"/>
    </row>
    <row r="102" spans="1:39" ht="13.5" customHeight="1">
      <c r="D102" s="1227" t="s">
        <v>719</v>
      </c>
      <c r="E102" s="392"/>
      <c r="F102" s="392"/>
      <c r="G102" s="392"/>
      <c r="H102" s="392"/>
      <c r="I102" s="392"/>
      <c r="J102" s="392">
        <v>0</v>
      </c>
      <c r="K102" s="392"/>
      <c r="L102" s="392"/>
      <c r="M102" s="392"/>
      <c r="N102" s="392"/>
      <c r="O102" s="392"/>
      <c r="P102" s="392">
        <v>0</v>
      </c>
      <c r="Q102" s="392">
        <v>2</v>
      </c>
      <c r="R102" s="392">
        <v>2</v>
      </c>
      <c r="S102" s="392">
        <v>2</v>
      </c>
      <c r="T102" s="392">
        <v>2</v>
      </c>
      <c r="U102" s="392">
        <v>4</v>
      </c>
      <c r="V102" s="392">
        <v>4</v>
      </c>
      <c r="W102" s="392"/>
      <c r="X102" s="392"/>
      <c r="Y102" s="392"/>
      <c r="Z102" s="392"/>
      <c r="AA102" s="392"/>
      <c r="AB102" s="392">
        <v>0</v>
      </c>
      <c r="AC102" s="868">
        <f>E102+K102+Q102+W102</f>
        <v>2</v>
      </c>
      <c r="AD102" s="868">
        <f>F102+L102+R102+X102</f>
        <v>2</v>
      </c>
      <c r="AE102" s="868">
        <f>G102+M102+S102+Y102</f>
        <v>2</v>
      </c>
      <c r="AF102" s="868">
        <f>H102+N102+T102+Z102</f>
        <v>2</v>
      </c>
      <c r="AG102" s="868">
        <f>AC102+AE102</f>
        <v>4</v>
      </c>
      <c r="AH102" s="869">
        <f>AD102+AF102</f>
        <v>4</v>
      </c>
      <c r="AI102" s="1194"/>
      <c r="AJ102" s="378"/>
      <c r="AK102" s="378"/>
      <c r="AL102" s="378"/>
      <c r="AM102" s="378"/>
    </row>
    <row r="103" spans="1:39" ht="13.5" customHeight="1">
      <c r="B103" s="375" t="str">
        <f t="shared" si="25"/>
        <v/>
      </c>
      <c r="C103" s="375" t="str">
        <f t="shared" ref="C103:C136" si="31">IF(B103=D103," ","ach")</f>
        <v>ach</v>
      </c>
      <c r="D103" s="399" t="s">
        <v>502</v>
      </c>
      <c r="E103" s="389">
        <f t="shared" ref="E103:AH103" si="32">SUM(E99:E102)</f>
        <v>8</v>
      </c>
      <c r="F103" s="389">
        <f t="shared" si="32"/>
        <v>8</v>
      </c>
      <c r="G103" s="389">
        <f t="shared" si="32"/>
        <v>4</v>
      </c>
      <c r="H103" s="389">
        <f t="shared" si="32"/>
        <v>2</v>
      </c>
      <c r="I103" s="389">
        <f t="shared" si="32"/>
        <v>12</v>
      </c>
      <c r="J103" s="389">
        <f t="shared" si="32"/>
        <v>9</v>
      </c>
      <c r="K103" s="389">
        <f t="shared" si="32"/>
        <v>13</v>
      </c>
      <c r="L103" s="389">
        <f t="shared" si="32"/>
        <v>13</v>
      </c>
      <c r="M103" s="389">
        <f t="shared" si="32"/>
        <v>3</v>
      </c>
      <c r="N103" s="389">
        <f t="shared" si="32"/>
        <v>2</v>
      </c>
      <c r="O103" s="389">
        <f t="shared" si="32"/>
        <v>16</v>
      </c>
      <c r="P103" s="389">
        <f t="shared" si="32"/>
        <v>15</v>
      </c>
      <c r="Q103" s="389">
        <f t="shared" si="32"/>
        <v>18</v>
      </c>
      <c r="R103" s="389">
        <f t="shared" si="32"/>
        <v>18</v>
      </c>
      <c r="S103" s="389">
        <f t="shared" si="32"/>
        <v>11</v>
      </c>
      <c r="T103" s="389">
        <f t="shared" si="32"/>
        <v>10</v>
      </c>
      <c r="U103" s="389">
        <f t="shared" si="32"/>
        <v>29</v>
      </c>
      <c r="V103" s="389">
        <f t="shared" si="32"/>
        <v>28</v>
      </c>
      <c r="W103" s="389">
        <f t="shared" si="32"/>
        <v>2</v>
      </c>
      <c r="X103" s="389">
        <f t="shared" si="32"/>
        <v>2</v>
      </c>
      <c r="Y103" s="389">
        <f t="shared" si="32"/>
        <v>1</v>
      </c>
      <c r="Z103" s="389">
        <f t="shared" si="32"/>
        <v>1</v>
      </c>
      <c r="AA103" s="389">
        <f t="shared" si="32"/>
        <v>3</v>
      </c>
      <c r="AB103" s="389">
        <f t="shared" si="32"/>
        <v>3</v>
      </c>
      <c r="AC103" s="389">
        <f t="shared" si="32"/>
        <v>41</v>
      </c>
      <c r="AD103" s="389">
        <f t="shared" si="32"/>
        <v>41</v>
      </c>
      <c r="AE103" s="389">
        <f t="shared" si="32"/>
        <v>19</v>
      </c>
      <c r="AF103" s="389">
        <f t="shared" si="32"/>
        <v>15</v>
      </c>
      <c r="AG103" s="389">
        <f t="shared" si="32"/>
        <v>60</v>
      </c>
      <c r="AH103" s="1179">
        <f t="shared" si="32"/>
        <v>56</v>
      </c>
      <c r="AI103" s="1194"/>
      <c r="AJ103" s="378"/>
      <c r="AK103" s="378"/>
      <c r="AL103" s="378"/>
      <c r="AM103" s="378"/>
    </row>
    <row r="104" spans="1:39" ht="13.5" customHeight="1">
      <c r="B104" s="1177"/>
      <c r="C104" s="375" t="str">
        <f t="shared" si="31"/>
        <v>ach</v>
      </c>
      <c r="D104" s="403" t="s">
        <v>458</v>
      </c>
      <c r="E104" s="391">
        <v>1</v>
      </c>
      <c r="F104" s="391">
        <v>1</v>
      </c>
      <c r="G104" s="391">
        <v>1</v>
      </c>
      <c r="H104" s="391">
        <v>1</v>
      </c>
      <c r="I104" s="391">
        <v>2</v>
      </c>
      <c r="J104" s="391">
        <v>2</v>
      </c>
      <c r="K104" s="391"/>
      <c r="L104" s="391"/>
      <c r="M104" s="391"/>
      <c r="N104" s="391"/>
      <c r="O104" s="391"/>
      <c r="P104" s="391">
        <v>0</v>
      </c>
      <c r="Q104" s="391">
        <v>2</v>
      </c>
      <c r="R104" s="391">
        <v>2</v>
      </c>
      <c r="S104" s="391"/>
      <c r="T104" s="391"/>
      <c r="U104" s="391">
        <v>2</v>
      </c>
      <c r="V104" s="391">
        <v>2</v>
      </c>
      <c r="W104" s="391"/>
      <c r="X104" s="391"/>
      <c r="Y104" s="391"/>
      <c r="Z104" s="391"/>
      <c r="AA104" s="391"/>
      <c r="AB104" s="391">
        <v>0</v>
      </c>
      <c r="AC104" s="878">
        <f t="shared" si="21"/>
        <v>3</v>
      </c>
      <c r="AD104" s="878">
        <f t="shared" si="21"/>
        <v>3</v>
      </c>
      <c r="AE104" s="878">
        <f t="shared" si="21"/>
        <v>1</v>
      </c>
      <c r="AF104" s="878">
        <f t="shared" si="21"/>
        <v>1</v>
      </c>
      <c r="AG104" s="878">
        <f t="shared" si="22"/>
        <v>4</v>
      </c>
      <c r="AH104" s="879">
        <f t="shared" si="22"/>
        <v>4</v>
      </c>
      <c r="AI104" s="1194"/>
      <c r="AJ104" s="378"/>
      <c r="AK104" s="378"/>
      <c r="AL104" s="378"/>
      <c r="AM104" s="378"/>
    </row>
    <row r="105" spans="1:39" ht="13.5" customHeight="1">
      <c r="A105" s="375" t="s">
        <v>649</v>
      </c>
      <c r="B105" s="375" t="str">
        <f t="shared" si="25"/>
        <v>NOUVELLE CALEDONIE</v>
      </c>
      <c r="C105" s="375" t="str">
        <f t="shared" si="31"/>
        <v xml:space="preserve"> </v>
      </c>
      <c r="D105" s="1545" t="s">
        <v>459</v>
      </c>
      <c r="E105" s="394"/>
      <c r="F105" s="394"/>
      <c r="G105" s="394"/>
      <c r="H105" s="394"/>
      <c r="I105" s="394"/>
      <c r="J105" s="394"/>
      <c r="K105" s="394"/>
      <c r="L105" s="394"/>
      <c r="M105" s="394"/>
      <c r="N105" s="394"/>
      <c r="O105" s="394"/>
      <c r="P105" s="394"/>
      <c r="Q105" s="394"/>
      <c r="R105" s="394"/>
      <c r="S105" s="394"/>
      <c r="T105" s="394"/>
      <c r="U105" s="394"/>
      <c r="V105" s="394"/>
      <c r="W105" s="394"/>
      <c r="X105" s="394"/>
      <c r="Y105" s="394"/>
      <c r="Z105" s="394"/>
      <c r="AA105" s="394"/>
      <c r="AB105" s="394"/>
      <c r="AC105" s="874">
        <f t="shared" si="21"/>
        <v>0</v>
      </c>
      <c r="AD105" s="874">
        <f t="shared" si="21"/>
        <v>0</v>
      </c>
      <c r="AE105" s="874">
        <f t="shared" si="21"/>
        <v>0</v>
      </c>
      <c r="AF105" s="874">
        <f t="shared" si="21"/>
        <v>0</v>
      </c>
      <c r="AG105" s="874">
        <f t="shared" si="22"/>
        <v>0</v>
      </c>
      <c r="AH105" s="875">
        <f t="shared" si="22"/>
        <v>0</v>
      </c>
      <c r="AI105" s="1194"/>
      <c r="AJ105" s="378"/>
      <c r="AK105" s="378"/>
      <c r="AL105" s="378"/>
      <c r="AM105" s="378"/>
    </row>
    <row r="106" spans="1:39" ht="13.5" customHeight="1">
      <c r="B106" s="375" t="str">
        <f t="shared" si="25"/>
        <v/>
      </c>
      <c r="C106" s="375" t="str">
        <f t="shared" si="31"/>
        <v>ach</v>
      </c>
      <c r="D106" s="399" t="s">
        <v>458</v>
      </c>
      <c r="E106" s="389">
        <f>SUM(E104:E105)</f>
        <v>1</v>
      </c>
      <c r="F106" s="389">
        <f t="shared" ref="F106:AH106" si="33">SUM(F104:F105)</f>
        <v>1</v>
      </c>
      <c r="G106" s="389">
        <f t="shared" si="33"/>
        <v>1</v>
      </c>
      <c r="H106" s="389">
        <f t="shared" si="33"/>
        <v>1</v>
      </c>
      <c r="I106" s="389">
        <f t="shared" si="33"/>
        <v>2</v>
      </c>
      <c r="J106" s="389">
        <f t="shared" si="33"/>
        <v>2</v>
      </c>
      <c r="K106" s="389">
        <f t="shared" si="33"/>
        <v>0</v>
      </c>
      <c r="L106" s="389">
        <f t="shared" si="33"/>
        <v>0</v>
      </c>
      <c r="M106" s="389">
        <f t="shared" si="33"/>
        <v>0</v>
      </c>
      <c r="N106" s="389">
        <f t="shared" si="33"/>
        <v>0</v>
      </c>
      <c r="O106" s="389">
        <f t="shared" si="33"/>
        <v>0</v>
      </c>
      <c r="P106" s="389">
        <f t="shared" si="33"/>
        <v>0</v>
      </c>
      <c r="Q106" s="389">
        <f t="shared" si="33"/>
        <v>2</v>
      </c>
      <c r="R106" s="389">
        <f t="shared" si="33"/>
        <v>2</v>
      </c>
      <c r="S106" s="389">
        <f t="shared" si="33"/>
        <v>0</v>
      </c>
      <c r="T106" s="389">
        <f t="shared" si="33"/>
        <v>0</v>
      </c>
      <c r="U106" s="389">
        <f t="shared" si="33"/>
        <v>2</v>
      </c>
      <c r="V106" s="389">
        <f t="shared" si="33"/>
        <v>2</v>
      </c>
      <c r="W106" s="389">
        <f t="shared" si="33"/>
        <v>0</v>
      </c>
      <c r="X106" s="389">
        <f t="shared" si="33"/>
        <v>0</v>
      </c>
      <c r="Y106" s="389">
        <f t="shared" si="33"/>
        <v>0</v>
      </c>
      <c r="Z106" s="389">
        <f t="shared" si="33"/>
        <v>0</v>
      </c>
      <c r="AA106" s="389">
        <f t="shared" si="33"/>
        <v>0</v>
      </c>
      <c r="AB106" s="389">
        <f t="shared" si="33"/>
        <v>0</v>
      </c>
      <c r="AC106" s="389">
        <f t="shared" si="33"/>
        <v>3</v>
      </c>
      <c r="AD106" s="389">
        <f t="shared" si="33"/>
        <v>3</v>
      </c>
      <c r="AE106" s="389">
        <f t="shared" si="33"/>
        <v>1</v>
      </c>
      <c r="AF106" s="389">
        <f t="shared" si="33"/>
        <v>1</v>
      </c>
      <c r="AG106" s="389">
        <f t="shared" si="33"/>
        <v>4</v>
      </c>
      <c r="AH106" s="1179">
        <f t="shared" si="33"/>
        <v>4</v>
      </c>
      <c r="AI106" s="1194"/>
      <c r="AJ106" s="378"/>
      <c r="AK106" s="378"/>
      <c r="AL106" s="378"/>
      <c r="AM106" s="378"/>
    </row>
    <row r="107" spans="1:39" ht="13.5" customHeight="1">
      <c r="A107" s="375" t="s">
        <v>650</v>
      </c>
      <c r="B107" s="375" t="str">
        <f t="shared" si="25"/>
        <v>PARIS  1</v>
      </c>
      <c r="C107" s="375" t="str">
        <f t="shared" si="31"/>
        <v>ach</v>
      </c>
      <c r="D107" s="403" t="s">
        <v>460</v>
      </c>
      <c r="E107" s="391">
        <v>15</v>
      </c>
      <c r="F107" s="391">
        <v>14</v>
      </c>
      <c r="G107" s="391">
        <v>14</v>
      </c>
      <c r="H107" s="391">
        <v>14</v>
      </c>
      <c r="I107" s="391">
        <v>29</v>
      </c>
      <c r="J107" s="391">
        <v>28</v>
      </c>
      <c r="K107" s="391">
        <v>15</v>
      </c>
      <c r="L107" s="391">
        <v>15</v>
      </c>
      <c r="M107" s="391">
        <v>5</v>
      </c>
      <c r="N107" s="391">
        <v>5</v>
      </c>
      <c r="O107" s="391">
        <v>20</v>
      </c>
      <c r="P107" s="391">
        <v>20</v>
      </c>
      <c r="Q107" s="391">
        <v>1</v>
      </c>
      <c r="R107" s="391">
        <v>1</v>
      </c>
      <c r="S107" s="391"/>
      <c r="T107" s="391"/>
      <c r="U107" s="391">
        <v>1</v>
      </c>
      <c r="V107" s="391">
        <v>1</v>
      </c>
      <c r="W107" s="391"/>
      <c r="X107" s="391"/>
      <c r="Y107" s="391"/>
      <c r="Z107" s="391"/>
      <c r="AA107" s="391"/>
      <c r="AB107" s="391">
        <v>0</v>
      </c>
      <c r="AC107" s="878">
        <f t="shared" si="21"/>
        <v>31</v>
      </c>
      <c r="AD107" s="878">
        <f t="shared" si="21"/>
        <v>30</v>
      </c>
      <c r="AE107" s="878">
        <f t="shared" si="21"/>
        <v>19</v>
      </c>
      <c r="AF107" s="878">
        <f t="shared" si="21"/>
        <v>19</v>
      </c>
      <c r="AG107" s="878">
        <f t="shared" si="22"/>
        <v>50</v>
      </c>
      <c r="AH107" s="879">
        <f t="shared" si="22"/>
        <v>49</v>
      </c>
      <c r="AI107" s="1194"/>
      <c r="AJ107" s="378"/>
      <c r="AK107" s="378"/>
      <c r="AL107" s="378"/>
      <c r="AM107" s="378"/>
    </row>
    <row r="108" spans="1:39" ht="13.5" customHeight="1">
      <c r="A108" s="375" t="s">
        <v>651</v>
      </c>
      <c r="B108" s="375" t="str">
        <f t="shared" si="25"/>
        <v>PARIS  2</v>
      </c>
      <c r="C108" s="375" t="str">
        <f t="shared" si="31"/>
        <v>ach</v>
      </c>
      <c r="D108" s="397" t="s">
        <v>506</v>
      </c>
      <c r="E108" s="393">
        <v>12</v>
      </c>
      <c r="F108" s="393">
        <v>12</v>
      </c>
      <c r="G108" s="393">
        <v>5</v>
      </c>
      <c r="H108" s="393">
        <v>5</v>
      </c>
      <c r="I108" s="393">
        <v>17</v>
      </c>
      <c r="J108" s="393">
        <v>17</v>
      </c>
      <c r="K108" s="393">
        <v>2</v>
      </c>
      <c r="L108" s="393">
        <v>2</v>
      </c>
      <c r="M108" s="393">
        <v>1</v>
      </c>
      <c r="N108" s="393">
        <v>1</v>
      </c>
      <c r="O108" s="393">
        <v>3</v>
      </c>
      <c r="P108" s="393">
        <v>3</v>
      </c>
      <c r="Q108" s="393">
        <v>1</v>
      </c>
      <c r="R108" s="393">
        <v>1</v>
      </c>
      <c r="S108" s="393"/>
      <c r="T108" s="393"/>
      <c r="U108" s="393">
        <v>1</v>
      </c>
      <c r="V108" s="393">
        <v>1</v>
      </c>
      <c r="W108" s="393"/>
      <c r="X108" s="393"/>
      <c r="Y108" s="393"/>
      <c r="Z108" s="393"/>
      <c r="AA108" s="393"/>
      <c r="AB108" s="393">
        <v>0</v>
      </c>
      <c r="AC108" s="868">
        <f t="shared" si="21"/>
        <v>15</v>
      </c>
      <c r="AD108" s="868">
        <f t="shared" si="21"/>
        <v>15</v>
      </c>
      <c r="AE108" s="868">
        <f t="shared" si="21"/>
        <v>6</v>
      </c>
      <c r="AF108" s="868">
        <f t="shared" si="21"/>
        <v>6</v>
      </c>
      <c r="AG108" s="868">
        <f t="shared" si="22"/>
        <v>21</v>
      </c>
      <c r="AH108" s="869">
        <f t="shared" si="22"/>
        <v>21</v>
      </c>
      <c r="AI108" s="1194"/>
      <c r="AJ108" s="378"/>
      <c r="AK108" s="378"/>
      <c r="AL108" s="378"/>
      <c r="AM108" s="378"/>
    </row>
    <row r="109" spans="1:39" ht="13.5" customHeight="1">
      <c r="A109" s="375" t="s">
        <v>652</v>
      </c>
      <c r="B109" s="375" t="str">
        <f t="shared" si="25"/>
        <v>PARIS  3</v>
      </c>
      <c r="C109" s="375" t="str">
        <f t="shared" si="31"/>
        <v>ach</v>
      </c>
      <c r="D109" s="397" t="s">
        <v>507</v>
      </c>
      <c r="E109" s="393">
        <v>2</v>
      </c>
      <c r="F109" s="393">
        <v>2</v>
      </c>
      <c r="G109" s="393"/>
      <c r="H109" s="393"/>
      <c r="I109" s="393">
        <v>2</v>
      </c>
      <c r="J109" s="393">
        <v>2</v>
      </c>
      <c r="K109" s="393">
        <v>11</v>
      </c>
      <c r="L109" s="393">
        <v>10</v>
      </c>
      <c r="M109" s="393">
        <v>8</v>
      </c>
      <c r="N109" s="393">
        <v>7</v>
      </c>
      <c r="O109" s="393">
        <v>19</v>
      </c>
      <c r="P109" s="393">
        <v>17</v>
      </c>
      <c r="Q109" s="393"/>
      <c r="R109" s="393"/>
      <c r="S109" s="393"/>
      <c r="T109" s="393"/>
      <c r="U109" s="393"/>
      <c r="V109" s="393">
        <v>0</v>
      </c>
      <c r="W109" s="393"/>
      <c r="X109" s="393"/>
      <c r="Y109" s="393"/>
      <c r="Z109" s="393"/>
      <c r="AA109" s="393"/>
      <c r="AB109" s="393">
        <v>0</v>
      </c>
      <c r="AC109" s="868">
        <f t="shared" si="21"/>
        <v>13</v>
      </c>
      <c r="AD109" s="868">
        <f t="shared" si="21"/>
        <v>12</v>
      </c>
      <c r="AE109" s="868">
        <f t="shared" si="21"/>
        <v>8</v>
      </c>
      <c r="AF109" s="868">
        <f t="shared" si="21"/>
        <v>7</v>
      </c>
      <c r="AG109" s="868">
        <f t="shared" si="22"/>
        <v>21</v>
      </c>
      <c r="AH109" s="869">
        <f t="shared" si="22"/>
        <v>19</v>
      </c>
      <c r="AI109" s="1194"/>
      <c r="AJ109" s="378"/>
      <c r="AK109" s="378"/>
      <c r="AL109" s="378"/>
      <c r="AM109" s="378"/>
    </row>
    <row r="110" spans="1:39" ht="13.5" customHeight="1">
      <c r="A110" s="375" t="s">
        <v>653</v>
      </c>
      <c r="B110" s="375" t="str">
        <f t="shared" si="25"/>
        <v>PARIS  4</v>
      </c>
      <c r="C110" s="375" t="str">
        <f t="shared" si="31"/>
        <v>ach</v>
      </c>
      <c r="D110" s="397" t="s">
        <v>508</v>
      </c>
      <c r="E110" s="393"/>
      <c r="F110" s="393"/>
      <c r="G110" s="393"/>
      <c r="H110" s="393"/>
      <c r="I110" s="393"/>
      <c r="J110" s="393">
        <v>0</v>
      </c>
      <c r="K110" s="393">
        <v>11</v>
      </c>
      <c r="L110" s="393">
        <v>11</v>
      </c>
      <c r="M110" s="393">
        <v>12</v>
      </c>
      <c r="N110" s="393">
        <v>10</v>
      </c>
      <c r="O110" s="393">
        <v>23</v>
      </c>
      <c r="P110" s="393">
        <v>21</v>
      </c>
      <c r="Q110" s="393">
        <v>1</v>
      </c>
      <c r="R110" s="393">
        <v>1</v>
      </c>
      <c r="S110" s="393"/>
      <c r="T110" s="393"/>
      <c r="U110" s="393">
        <v>1</v>
      </c>
      <c r="V110" s="393">
        <v>1</v>
      </c>
      <c r="W110" s="393"/>
      <c r="X110" s="393"/>
      <c r="Y110" s="393"/>
      <c r="Z110" s="393"/>
      <c r="AA110" s="393"/>
      <c r="AB110" s="393">
        <v>0</v>
      </c>
      <c r="AC110" s="868">
        <f t="shared" si="21"/>
        <v>12</v>
      </c>
      <c r="AD110" s="868">
        <f t="shared" si="21"/>
        <v>12</v>
      </c>
      <c r="AE110" s="868">
        <f t="shared" si="21"/>
        <v>12</v>
      </c>
      <c r="AF110" s="868">
        <f t="shared" si="21"/>
        <v>10</v>
      </c>
      <c r="AG110" s="868">
        <f t="shared" si="22"/>
        <v>24</v>
      </c>
      <c r="AH110" s="869">
        <f t="shared" si="22"/>
        <v>22</v>
      </c>
      <c r="AI110" s="1194"/>
      <c r="AJ110" s="378"/>
      <c r="AK110" s="378"/>
      <c r="AL110" s="378"/>
      <c r="AM110" s="378"/>
    </row>
    <row r="111" spans="1:39" ht="13.5" customHeight="1">
      <c r="A111" s="375" t="s">
        <v>654</v>
      </c>
      <c r="B111" s="375" t="str">
        <f t="shared" si="25"/>
        <v>PARIS  5</v>
      </c>
      <c r="C111" s="375" t="str">
        <f t="shared" si="31"/>
        <v>ach</v>
      </c>
      <c r="D111" s="397" t="s">
        <v>509</v>
      </c>
      <c r="E111" s="393">
        <v>3</v>
      </c>
      <c r="F111" s="393">
        <v>3</v>
      </c>
      <c r="G111" s="393">
        <v>5</v>
      </c>
      <c r="H111" s="393">
        <v>5</v>
      </c>
      <c r="I111" s="393">
        <v>8</v>
      </c>
      <c r="J111" s="393">
        <v>7</v>
      </c>
      <c r="K111" s="393">
        <v>7</v>
      </c>
      <c r="L111" s="393">
        <v>7</v>
      </c>
      <c r="M111" s="393">
        <v>8</v>
      </c>
      <c r="N111" s="393">
        <v>8</v>
      </c>
      <c r="O111" s="393">
        <v>15</v>
      </c>
      <c r="P111" s="393">
        <v>15</v>
      </c>
      <c r="Q111" s="393">
        <v>4</v>
      </c>
      <c r="R111" s="393">
        <v>4</v>
      </c>
      <c r="S111" s="393"/>
      <c r="T111" s="393"/>
      <c r="U111" s="393">
        <v>4</v>
      </c>
      <c r="V111" s="393">
        <v>4</v>
      </c>
      <c r="W111" s="393">
        <v>2</v>
      </c>
      <c r="X111" s="393">
        <v>2</v>
      </c>
      <c r="Y111" s="393"/>
      <c r="Z111" s="393"/>
      <c r="AA111" s="393">
        <v>2</v>
      </c>
      <c r="AB111" s="393">
        <v>2</v>
      </c>
      <c r="AC111" s="868">
        <f t="shared" si="21"/>
        <v>16</v>
      </c>
      <c r="AD111" s="868">
        <f t="shared" si="21"/>
        <v>16</v>
      </c>
      <c r="AE111" s="868">
        <f t="shared" si="21"/>
        <v>13</v>
      </c>
      <c r="AF111" s="868">
        <f t="shared" si="21"/>
        <v>13</v>
      </c>
      <c r="AG111" s="868">
        <f t="shared" si="22"/>
        <v>29</v>
      </c>
      <c r="AH111" s="869">
        <f t="shared" si="22"/>
        <v>29</v>
      </c>
      <c r="AI111" s="1194"/>
      <c r="AJ111" s="378"/>
      <c r="AK111" s="378"/>
      <c r="AL111" s="378"/>
      <c r="AM111" s="378"/>
    </row>
    <row r="112" spans="1:39" ht="13.5" customHeight="1">
      <c r="A112" s="375" t="s">
        <v>655</v>
      </c>
      <c r="B112" s="375" t="str">
        <f t="shared" si="25"/>
        <v>PARIS  6</v>
      </c>
      <c r="C112" s="375" t="str">
        <f t="shared" si="31"/>
        <v>ach</v>
      </c>
      <c r="D112" s="397" t="s">
        <v>510</v>
      </c>
      <c r="E112" s="393"/>
      <c r="F112" s="393"/>
      <c r="G112" s="393"/>
      <c r="H112" s="393"/>
      <c r="I112" s="393"/>
      <c r="J112" s="393">
        <v>0</v>
      </c>
      <c r="K112" s="393"/>
      <c r="L112" s="393"/>
      <c r="M112" s="393"/>
      <c r="N112" s="393"/>
      <c r="O112" s="393"/>
      <c r="P112" s="393">
        <v>0</v>
      </c>
      <c r="Q112" s="393">
        <v>27</v>
      </c>
      <c r="R112" s="393">
        <v>27</v>
      </c>
      <c r="S112" s="393">
        <v>20</v>
      </c>
      <c r="T112" s="393">
        <v>19</v>
      </c>
      <c r="U112" s="393">
        <v>47</v>
      </c>
      <c r="V112" s="393">
        <v>40</v>
      </c>
      <c r="W112" s="393"/>
      <c r="X112" s="393"/>
      <c r="Y112" s="393"/>
      <c r="Z112" s="393"/>
      <c r="AA112" s="393"/>
      <c r="AB112" s="393">
        <v>0</v>
      </c>
      <c r="AC112" s="868">
        <f t="shared" si="21"/>
        <v>27</v>
      </c>
      <c r="AD112" s="868">
        <f t="shared" si="21"/>
        <v>27</v>
      </c>
      <c r="AE112" s="868">
        <f t="shared" si="21"/>
        <v>20</v>
      </c>
      <c r="AF112" s="868">
        <f t="shared" si="21"/>
        <v>19</v>
      </c>
      <c r="AG112" s="868">
        <f t="shared" si="22"/>
        <v>47</v>
      </c>
      <c r="AH112" s="869">
        <f t="shared" si="22"/>
        <v>46</v>
      </c>
      <c r="AI112" s="1194"/>
      <c r="AJ112" s="378"/>
      <c r="AK112" s="378"/>
      <c r="AL112" s="378"/>
      <c r="AM112" s="378"/>
    </row>
    <row r="113" spans="1:39" ht="13.5" customHeight="1">
      <c r="A113" s="375" t="s">
        <v>656</v>
      </c>
      <c r="B113" s="375" t="str">
        <f t="shared" si="25"/>
        <v>PARIS  7</v>
      </c>
      <c r="C113" s="375" t="str">
        <f t="shared" si="31"/>
        <v>ach</v>
      </c>
      <c r="D113" s="397" t="s">
        <v>511</v>
      </c>
      <c r="E113" s="393"/>
      <c r="F113" s="393"/>
      <c r="G113" s="393">
        <v>1</v>
      </c>
      <c r="H113" s="393">
        <v>1</v>
      </c>
      <c r="I113" s="393">
        <v>1</v>
      </c>
      <c r="J113" s="393">
        <v>1</v>
      </c>
      <c r="K113" s="393">
        <v>6</v>
      </c>
      <c r="L113" s="393">
        <v>6</v>
      </c>
      <c r="M113" s="393">
        <v>10</v>
      </c>
      <c r="N113" s="393">
        <v>10</v>
      </c>
      <c r="O113" s="393">
        <v>16</v>
      </c>
      <c r="P113" s="393">
        <v>16</v>
      </c>
      <c r="Q113" s="393">
        <v>7</v>
      </c>
      <c r="R113" s="393">
        <v>7</v>
      </c>
      <c r="S113" s="393">
        <v>6</v>
      </c>
      <c r="T113" s="393">
        <v>6</v>
      </c>
      <c r="U113" s="393">
        <v>13</v>
      </c>
      <c r="V113" s="393">
        <v>12</v>
      </c>
      <c r="W113" s="393"/>
      <c r="X113" s="393"/>
      <c r="Y113" s="393"/>
      <c r="Z113" s="393"/>
      <c r="AA113" s="393"/>
      <c r="AB113" s="393">
        <v>0</v>
      </c>
      <c r="AC113" s="868">
        <f t="shared" si="21"/>
        <v>13</v>
      </c>
      <c r="AD113" s="868">
        <f t="shared" si="21"/>
        <v>13</v>
      </c>
      <c r="AE113" s="868">
        <f t="shared" si="21"/>
        <v>17</v>
      </c>
      <c r="AF113" s="868">
        <f t="shared" si="21"/>
        <v>17</v>
      </c>
      <c r="AG113" s="868">
        <f t="shared" si="22"/>
        <v>30</v>
      </c>
      <c r="AH113" s="869">
        <f t="shared" si="22"/>
        <v>30</v>
      </c>
      <c r="AI113" s="1194"/>
      <c r="AJ113" s="378"/>
      <c r="AK113" s="378"/>
      <c r="AL113" s="378"/>
      <c r="AM113" s="378"/>
    </row>
    <row r="114" spans="1:39" ht="13.5" customHeight="1">
      <c r="A114" s="375" t="s">
        <v>657</v>
      </c>
      <c r="B114" s="375" t="str">
        <f t="shared" si="25"/>
        <v>PARIS  DAUPHINE</v>
      </c>
      <c r="C114" s="375" t="str">
        <f t="shared" si="31"/>
        <v xml:space="preserve"> </v>
      </c>
      <c r="D114" s="397" t="s">
        <v>696</v>
      </c>
      <c r="E114" s="393">
        <v>3</v>
      </c>
      <c r="F114" s="393">
        <v>3</v>
      </c>
      <c r="G114" s="393">
        <v>6</v>
      </c>
      <c r="H114" s="393">
        <v>5</v>
      </c>
      <c r="I114" s="393">
        <v>9</v>
      </c>
      <c r="J114" s="393">
        <v>8</v>
      </c>
      <c r="K114" s="393">
        <v>2</v>
      </c>
      <c r="L114" s="393">
        <v>2</v>
      </c>
      <c r="M114" s="393">
        <v>2</v>
      </c>
      <c r="N114" s="393">
        <v>2</v>
      </c>
      <c r="O114" s="393">
        <v>4</v>
      </c>
      <c r="P114" s="393">
        <v>4</v>
      </c>
      <c r="Q114" s="393">
        <v>6</v>
      </c>
      <c r="R114" s="393">
        <v>6</v>
      </c>
      <c r="S114" s="393">
        <v>1</v>
      </c>
      <c r="T114" s="393">
        <v>1</v>
      </c>
      <c r="U114" s="393">
        <v>7</v>
      </c>
      <c r="V114" s="393">
        <v>7</v>
      </c>
      <c r="W114" s="393"/>
      <c r="X114" s="393"/>
      <c r="Y114" s="393"/>
      <c r="Z114" s="393"/>
      <c r="AA114" s="393"/>
      <c r="AB114" s="393">
        <v>0</v>
      </c>
      <c r="AC114" s="868">
        <f t="shared" si="21"/>
        <v>11</v>
      </c>
      <c r="AD114" s="868">
        <f t="shared" si="21"/>
        <v>11</v>
      </c>
      <c r="AE114" s="868">
        <f t="shared" si="21"/>
        <v>9</v>
      </c>
      <c r="AF114" s="868">
        <f t="shared" si="21"/>
        <v>8</v>
      </c>
      <c r="AG114" s="868">
        <f t="shared" si="22"/>
        <v>20</v>
      </c>
      <c r="AH114" s="869">
        <f t="shared" si="22"/>
        <v>19</v>
      </c>
      <c r="AI114" s="1194"/>
      <c r="AJ114" s="378"/>
      <c r="AK114" s="378"/>
      <c r="AL114" s="378"/>
      <c r="AM114" s="378"/>
    </row>
    <row r="115" spans="1:39" ht="13.5" customHeight="1">
      <c r="A115" s="375" t="s">
        <v>658</v>
      </c>
      <c r="B115" s="375" t="str">
        <f t="shared" si="25"/>
        <v>PARIS INALCO</v>
      </c>
      <c r="C115" s="375" t="str">
        <f t="shared" si="31"/>
        <v xml:space="preserve"> </v>
      </c>
      <c r="D115" s="1011" t="s">
        <v>461</v>
      </c>
      <c r="E115" s="393"/>
      <c r="F115" s="393"/>
      <c r="G115" s="393"/>
      <c r="H115" s="393"/>
      <c r="I115" s="393"/>
      <c r="J115" s="393"/>
      <c r="K115" s="393"/>
      <c r="L115" s="393"/>
      <c r="M115" s="393"/>
      <c r="N115" s="393"/>
      <c r="O115" s="393"/>
      <c r="P115" s="393"/>
      <c r="Q115" s="393"/>
      <c r="R115" s="393"/>
      <c r="S115" s="393"/>
      <c r="T115" s="393"/>
      <c r="U115" s="393"/>
      <c r="V115" s="393"/>
      <c r="W115" s="393"/>
      <c r="X115" s="393"/>
      <c r="Y115" s="393"/>
      <c r="Z115" s="393"/>
      <c r="AA115" s="393"/>
      <c r="AB115" s="393"/>
      <c r="AC115" s="868">
        <f t="shared" si="21"/>
        <v>0</v>
      </c>
      <c r="AD115" s="868">
        <f t="shared" si="21"/>
        <v>0</v>
      </c>
      <c r="AE115" s="868">
        <f t="shared" si="21"/>
        <v>0</v>
      </c>
      <c r="AF115" s="868">
        <f t="shared" si="21"/>
        <v>0</v>
      </c>
      <c r="AG115" s="868">
        <f t="shared" si="22"/>
        <v>0</v>
      </c>
      <c r="AH115" s="869">
        <f t="shared" si="22"/>
        <v>0</v>
      </c>
      <c r="AI115" s="1194"/>
      <c r="AJ115" s="378"/>
      <c r="AK115" s="378"/>
      <c r="AL115" s="378"/>
      <c r="AM115" s="378"/>
    </row>
    <row r="116" spans="1:39" ht="13.5" customHeight="1">
      <c r="A116" s="375" t="s">
        <v>659</v>
      </c>
      <c r="B116" s="375" t="str">
        <f t="shared" si="25"/>
        <v>PARIS ENSAM</v>
      </c>
      <c r="C116" s="375" t="str">
        <f t="shared" si="31"/>
        <v xml:space="preserve"> </v>
      </c>
      <c r="D116" s="397" t="s">
        <v>462</v>
      </c>
      <c r="E116" s="393"/>
      <c r="F116" s="393"/>
      <c r="G116" s="393"/>
      <c r="H116" s="393"/>
      <c r="I116" s="393"/>
      <c r="J116" s="393">
        <v>0</v>
      </c>
      <c r="K116" s="393"/>
      <c r="L116" s="393"/>
      <c r="M116" s="393"/>
      <c r="N116" s="393"/>
      <c r="O116" s="393"/>
      <c r="P116" s="393">
        <v>0</v>
      </c>
      <c r="Q116" s="393">
        <v>6</v>
      </c>
      <c r="R116" s="393">
        <v>4</v>
      </c>
      <c r="S116" s="393">
        <v>4</v>
      </c>
      <c r="T116" s="393">
        <v>3</v>
      </c>
      <c r="U116" s="393">
        <v>10</v>
      </c>
      <c r="V116" s="393">
        <v>7</v>
      </c>
      <c r="W116" s="393"/>
      <c r="X116" s="393"/>
      <c r="Y116" s="393"/>
      <c r="Z116" s="393"/>
      <c r="AA116" s="393"/>
      <c r="AB116" s="393">
        <v>0</v>
      </c>
      <c r="AC116" s="868">
        <f t="shared" si="21"/>
        <v>6</v>
      </c>
      <c r="AD116" s="868">
        <f t="shared" si="21"/>
        <v>4</v>
      </c>
      <c r="AE116" s="868">
        <f t="shared" si="21"/>
        <v>4</v>
      </c>
      <c r="AF116" s="868">
        <f t="shared" si="21"/>
        <v>3</v>
      </c>
      <c r="AG116" s="868">
        <f t="shared" si="22"/>
        <v>10</v>
      </c>
      <c r="AH116" s="869">
        <f t="shared" si="22"/>
        <v>7</v>
      </c>
      <c r="AI116" s="1194"/>
      <c r="AJ116" s="378"/>
      <c r="AK116" s="378"/>
      <c r="AL116" s="378"/>
      <c r="AM116" s="378"/>
    </row>
    <row r="117" spans="1:39" ht="13.5" customHeight="1">
      <c r="D117" s="1011" t="s">
        <v>723</v>
      </c>
      <c r="E117" s="393"/>
      <c r="F117" s="393"/>
      <c r="G117" s="393"/>
      <c r="H117" s="393"/>
      <c r="I117" s="393"/>
      <c r="J117" s="393"/>
      <c r="K117" s="393"/>
      <c r="L117" s="393"/>
      <c r="M117" s="393"/>
      <c r="N117" s="393"/>
      <c r="O117" s="393"/>
      <c r="P117" s="393"/>
      <c r="Q117" s="393"/>
      <c r="R117" s="393"/>
      <c r="S117" s="393"/>
      <c r="T117" s="393"/>
      <c r="U117" s="393"/>
      <c r="V117" s="393"/>
      <c r="W117" s="393"/>
      <c r="X117" s="393"/>
      <c r="Y117" s="393"/>
      <c r="Z117" s="393"/>
      <c r="AA117" s="393"/>
      <c r="AB117" s="393"/>
      <c r="AC117" s="868"/>
      <c r="AD117" s="868"/>
      <c r="AE117" s="868"/>
      <c r="AF117" s="868"/>
      <c r="AG117" s="868"/>
      <c r="AH117" s="869"/>
      <c r="AI117" s="1194"/>
      <c r="AJ117" s="378"/>
      <c r="AK117" s="378"/>
      <c r="AL117" s="378"/>
      <c r="AM117" s="378"/>
    </row>
    <row r="118" spans="1:39" ht="13.5" customHeight="1">
      <c r="D118" s="1011" t="s">
        <v>724</v>
      </c>
      <c r="E118" s="393"/>
      <c r="F118" s="393"/>
      <c r="G118" s="393"/>
      <c r="H118" s="393"/>
      <c r="I118" s="393"/>
      <c r="J118" s="393"/>
      <c r="K118" s="393"/>
      <c r="L118" s="393"/>
      <c r="M118" s="393"/>
      <c r="N118" s="393"/>
      <c r="O118" s="393"/>
      <c r="P118" s="393"/>
      <c r="Q118" s="393"/>
      <c r="R118" s="393"/>
      <c r="S118" s="393"/>
      <c r="T118" s="393"/>
      <c r="U118" s="393"/>
      <c r="V118" s="393"/>
      <c r="W118" s="393"/>
      <c r="X118" s="393"/>
      <c r="Y118" s="393"/>
      <c r="Z118" s="393"/>
      <c r="AA118" s="393"/>
      <c r="AB118" s="393"/>
      <c r="AC118" s="868"/>
      <c r="AD118" s="868"/>
      <c r="AE118" s="868"/>
      <c r="AF118" s="868"/>
      <c r="AG118" s="868"/>
      <c r="AH118" s="869"/>
      <c r="AI118" s="1194"/>
      <c r="AJ118" s="378"/>
      <c r="AK118" s="378"/>
      <c r="AL118" s="378"/>
      <c r="AM118" s="378"/>
    </row>
    <row r="119" spans="1:39" ht="13.5" customHeight="1">
      <c r="D119" s="1011" t="s">
        <v>725</v>
      </c>
      <c r="E119" s="393"/>
      <c r="F119" s="393"/>
      <c r="G119" s="393"/>
      <c r="H119" s="393"/>
      <c r="I119" s="393"/>
      <c r="J119" s="393"/>
      <c r="K119" s="393"/>
      <c r="L119" s="393"/>
      <c r="M119" s="393"/>
      <c r="N119" s="393"/>
      <c r="O119" s="393"/>
      <c r="P119" s="393"/>
      <c r="Q119" s="393"/>
      <c r="R119" s="393"/>
      <c r="S119" s="393"/>
      <c r="T119" s="393"/>
      <c r="U119" s="393"/>
      <c r="V119" s="393"/>
      <c r="W119" s="393"/>
      <c r="X119" s="393"/>
      <c r="Y119" s="393"/>
      <c r="Z119" s="393"/>
      <c r="AA119" s="393"/>
      <c r="AB119" s="393"/>
      <c r="AC119" s="868"/>
      <c r="AD119" s="868"/>
      <c r="AE119" s="868"/>
      <c r="AF119" s="868"/>
      <c r="AG119" s="868"/>
      <c r="AH119" s="869"/>
      <c r="AI119" s="1194"/>
      <c r="AJ119" s="378"/>
      <c r="AK119" s="378"/>
      <c r="AL119" s="378"/>
      <c r="AM119" s="378"/>
    </row>
    <row r="120" spans="1:39" ht="13.5" customHeight="1">
      <c r="A120" s="375" t="s">
        <v>660</v>
      </c>
      <c r="B120" s="375" t="str">
        <f t="shared" si="25"/>
        <v>PARIS CNAM</v>
      </c>
      <c r="C120" s="375" t="str">
        <f t="shared" si="31"/>
        <v xml:space="preserve"> </v>
      </c>
      <c r="D120" s="397" t="s">
        <v>463</v>
      </c>
      <c r="E120" s="393">
        <v>1</v>
      </c>
      <c r="F120" s="393">
        <v>1</v>
      </c>
      <c r="G120" s="393">
        <v>2</v>
      </c>
      <c r="H120" s="393">
        <v>2</v>
      </c>
      <c r="I120" s="393">
        <v>3</v>
      </c>
      <c r="J120" s="393">
        <v>3</v>
      </c>
      <c r="K120" s="393">
        <v>2</v>
      </c>
      <c r="L120" s="393">
        <v>2</v>
      </c>
      <c r="M120" s="393"/>
      <c r="N120" s="393"/>
      <c r="O120" s="393">
        <v>2</v>
      </c>
      <c r="P120" s="393">
        <v>2</v>
      </c>
      <c r="Q120" s="393">
        <v>8</v>
      </c>
      <c r="R120" s="393">
        <v>8</v>
      </c>
      <c r="S120" s="393">
        <v>3</v>
      </c>
      <c r="T120" s="393">
        <v>3</v>
      </c>
      <c r="U120" s="393">
        <v>11</v>
      </c>
      <c r="V120" s="393">
        <v>11</v>
      </c>
      <c r="W120" s="393"/>
      <c r="X120" s="393"/>
      <c r="Y120" s="393"/>
      <c r="Z120" s="393"/>
      <c r="AA120" s="393"/>
      <c r="AB120" s="393">
        <v>0</v>
      </c>
      <c r="AC120" s="868">
        <f t="shared" si="21"/>
        <v>11</v>
      </c>
      <c r="AD120" s="868">
        <f t="shared" si="21"/>
        <v>11</v>
      </c>
      <c r="AE120" s="868">
        <f t="shared" si="21"/>
        <v>5</v>
      </c>
      <c r="AF120" s="868">
        <f t="shared" si="21"/>
        <v>5</v>
      </c>
      <c r="AG120" s="868">
        <f t="shared" si="22"/>
        <v>16</v>
      </c>
      <c r="AH120" s="869">
        <f t="shared" si="22"/>
        <v>16</v>
      </c>
      <c r="AI120" s="1194"/>
      <c r="AJ120" s="378"/>
      <c r="AK120" s="378"/>
      <c r="AL120" s="378"/>
      <c r="AM120" s="378"/>
    </row>
    <row r="121" spans="1:39" ht="13.5" customHeight="1">
      <c r="A121" s="375" t="s">
        <v>661</v>
      </c>
      <c r="B121" s="375" t="str">
        <f t="shared" si="25"/>
        <v>PARIS ENS</v>
      </c>
      <c r="C121" s="375" t="str">
        <f t="shared" si="31"/>
        <v xml:space="preserve"> </v>
      </c>
      <c r="D121" s="397" t="s">
        <v>464</v>
      </c>
      <c r="E121" s="393"/>
      <c r="F121" s="393"/>
      <c r="G121" s="393"/>
      <c r="H121" s="393"/>
      <c r="I121" s="393"/>
      <c r="J121" s="393">
        <v>0</v>
      </c>
      <c r="K121" s="393">
        <v>3</v>
      </c>
      <c r="L121" s="393">
        <v>3</v>
      </c>
      <c r="M121" s="393">
        <v>1</v>
      </c>
      <c r="N121" s="393">
        <v>1</v>
      </c>
      <c r="O121" s="393">
        <v>4</v>
      </c>
      <c r="P121" s="393">
        <v>4</v>
      </c>
      <c r="Q121" s="393">
        <v>1</v>
      </c>
      <c r="R121" s="393">
        <v>1</v>
      </c>
      <c r="S121" s="393">
        <v>2</v>
      </c>
      <c r="T121" s="393">
        <v>2</v>
      </c>
      <c r="U121" s="393">
        <v>3</v>
      </c>
      <c r="V121" s="393">
        <v>3</v>
      </c>
      <c r="W121" s="393"/>
      <c r="X121" s="393"/>
      <c r="Y121" s="393"/>
      <c r="Z121" s="393"/>
      <c r="AA121" s="393"/>
      <c r="AB121" s="393">
        <v>0</v>
      </c>
      <c r="AC121" s="868">
        <f t="shared" si="21"/>
        <v>4</v>
      </c>
      <c r="AD121" s="868">
        <f t="shared" si="21"/>
        <v>4</v>
      </c>
      <c r="AE121" s="868">
        <f t="shared" si="21"/>
        <v>3</v>
      </c>
      <c r="AF121" s="868">
        <f t="shared" si="21"/>
        <v>3</v>
      </c>
      <c r="AG121" s="868">
        <f t="shared" si="22"/>
        <v>7</v>
      </c>
      <c r="AH121" s="869">
        <f t="shared" si="22"/>
        <v>7</v>
      </c>
      <c r="AI121" s="1194"/>
      <c r="AJ121" s="378"/>
      <c r="AK121" s="378"/>
      <c r="AL121" s="378"/>
      <c r="AM121" s="378"/>
    </row>
    <row r="122" spans="1:39" ht="13.5" customHeight="1">
      <c r="B122" s="1177"/>
      <c r="C122" s="375" t="str">
        <f t="shared" si="31"/>
        <v>ach</v>
      </c>
      <c r="D122" s="1011" t="s">
        <v>466</v>
      </c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3"/>
      <c r="W122" s="393"/>
      <c r="X122" s="393"/>
      <c r="Y122" s="393"/>
      <c r="Z122" s="393"/>
      <c r="AA122" s="393"/>
      <c r="AB122" s="393"/>
      <c r="AC122" s="868">
        <f t="shared" si="21"/>
        <v>0</v>
      </c>
      <c r="AD122" s="868">
        <f t="shared" si="21"/>
        <v>0</v>
      </c>
      <c r="AE122" s="868">
        <f t="shared" si="21"/>
        <v>0</v>
      </c>
      <c r="AF122" s="868">
        <f t="shared" si="21"/>
        <v>0</v>
      </c>
      <c r="AG122" s="868">
        <f t="shared" si="22"/>
        <v>0</v>
      </c>
      <c r="AH122" s="869">
        <f t="shared" si="22"/>
        <v>0</v>
      </c>
      <c r="AI122" s="1194"/>
      <c r="AJ122" s="378"/>
      <c r="AK122" s="378"/>
      <c r="AL122" s="378"/>
      <c r="AM122" s="378"/>
    </row>
    <row r="123" spans="1:39" ht="13.5" customHeight="1">
      <c r="A123" s="375" t="s">
        <v>662</v>
      </c>
      <c r="B123" s="375" t="str">
        <f t="shared" si="25"/>
        <v>PARIS IAE</v>
      </c>
      <c r="C123" s="375" t="str">
        <f t="shared" si="31"/>
        <v xml:space="preserve"> </v>
      </c>
      <c r="D123" s="1011" t="s">
        <v>465</v>
      </c>
      <c r="E123" s="393"/>
      <c r="F123" s="393"/>
      <c r="G123" s="393"/>
      <c r="H123" s="393"/>
      <c r="I123" s="393"/>
      <c r="J123" s="393"/>
      <c r="K123" s="393"/>
      <c r="L123" s="393"/>
      <c r="M123" s="393"/>
      <c r="N123" s="393"/>
      <c r="O123" s="393"/>
      <c r="P123" s="393"/>
      <c r="Q123" s="393"/>
      <c r="R123" s="393"/>
      <c r="S123" s="393"/>
      <c r="T123" s="393"/>
      <c r="U123" s="393"/>
      <c r="V123" s="393"/>
      <c r="W123" s="393"/>
      <c r="X123" s="393"/>
      <c r="Y123" s="393"/>
      <c r="Z123" s="393"/>
      <c r="AA123" s="393"/>
      <c r="AB123" s="393"/>
      <c r="AC123" s="868">
        <f>E123+K123+Q123+W123</f>
        <v>0</v>
      </c>
      <c r="AD123" s="868">
        <f>F123+L123+R123+X123</f>
        <v>0</v>
      </c>
      <c r="AE123" s="868">
        <f>G123+M123+S123+Y123</f>
        <v>0</v>
      </c>
      <c r="AF123" s="868">
        <f>H123+N123+T123+Z123</f>
        <v>0</v>
      </c>
      <c r="AG123" s="868">
        <f>AC123+AE123</f>
        <v>0</v>
      </c>
      <c r="AH123" s="869">
        <f>AD123+AF123</f>
        <v>0</v>
      </c>
      <c r="AI123" s="1194"/>
      <c r="AJ123" s="378"/>
      <c r="AK123" s="378"/>
      <c r="AL123" s="378"/>
      <c r="AM123" s="378"/>
    </row>
    <row r="124" spans="1:39" ht="13.5" customHeight="1">
      <c r="B124" s="375" t="str">
        <f t="shared" si="25"/>
        <v/>
      </c>
      <c r="C124" s="375" t="str">
        <f t="shared" si="31"/>
        <v>ach</v>
      </c>
      <c r="D124" s="399" t="s">
        <v>467</v>
      </c>
      <c r="E124" s="389">
        <f>SUM(E107:E123)</f>
        <v>36</v>
      </c>
      <c r="F124" s="389">
        <f t="shared" ref="F124:AH124" si="34">SUM(F107:F123)</f>
        <v>35</v>
      </c>
      <c r="G124" s="389">
        <f t="shared" si="34"/>
        <v>33</v>
      </c>
      <c r="H124" s="389">
        <f t="shared" si="34"/>
        <v>32</v>
      </c>
      <c r="I124" s="389">
        <f t="shared" si="34"/>
        <v>69</v>
      </c>
      <c r="J124" s="389">
        <f t="shared" si="34"/>
        <v>66</v>
      </c>
      <c r="K124" s="389">
        <f t="shared" si="34"/>
        <v>59</v>
      </c>
      <c r="L124" s="389">
        <f t="shared" si="34"/>
        <v>58</v>
      </c>
      <c r="M124" s="389">
        <f t="shared" si="34"/>
        <v>47</v>
      </c>
      <c r="N124" s="389">
        <f t="shared" si="34"/>
        <v>44</v>
      </c>
      <c r="O124" s="389">
        <f t="shared" si="34"/>
        <v>106</v>
      </c>
      <c r="P124" s="389">
        <f t="shared" si="34"/>
        <v>102</v>
      </c>
      <c r="Q124" s="389">
        <f t="shared" si="34"/>
        <v>62</v>
      </c>
      <c r="R124" s="389">
        <f t="shared" si="34"/>
        <v>60</v>
      </c>
      <c r="S124" s="389">
        <f t="shared" si="34"/>
        <v>36</v>
      </c>
      <c r="T124" s="389">
        <f t="shared" si="34"/>
        <v>34</v>
      </c>
      <c r="U124" s="389">
        <f t="shared" si="34"/>
        <v>98</v>
      </c>
      <c r="V124" s="389">
        <f t="shared" si="34"/>
        <v>87</v>
      </c>
      <c r="W124" s="389">
        <f t="shared" si="34"/>
        <v>2</v>
      </c>
      <c r="X124" s="389">
        <f t="shared" si="34"/>
        <v>2</v>
      </c>
      <c r="Y124" s="389">
        <f t="shared" si="34"/>
        <v>0</v>
      </c>
      <c r="Z124" s="389">
        <f t="shared" si="34"/>
        <v>0</v>
      </c>
      <c r="AA124" s="389">
        <f t="shared" si="34"/>
        <v>2</v>
      </c>
      <c r="AB124" s="389">
        <f t="shared" si="34"/>
        <v>2</v>
      </c>
      <c r="AC124" s="389">
        <f t="shared" si="34"/>
        <v>159</v>
      </c>
      <c r="AD124" s="389">
        <f t="shared" si="34"/>
        <v>155</v>
      </c>
      <c r="AE124" s="389">
        <f t="shared" si="34"/>
        <v>116</v>
      </c>
      <c r="AF124" s="389">
        <f t="shared" si="34"/>
        <v>110</v>
      </c>
      <c r="AG124" s="389">
        <f t="shared" si="34"/>
        <v>275</v>
      </c>
      <c r="AH124" s="1179">
        <f t="shared" si="34"/>
        <v>265</v>
      </c>
      <c r="AI124" s="1194"/>
      <c r="AJ124" s="378"/>
      <c r="AK124" s="378"/>
      <c r="AL124" s="378"/>
      <c r="AM124" s="378"/>
    </row>
    <row r="125" spans="1:39" ht="13.5" customHeight="1">
      <c r="A125" s="375" t="s">
        <v>663</v>
      </c>
      <c r="B125" s="375" t="str">
        <f t="shared" si="25"/>
        <v>POITIERS</v>
      </c>
      <c r="C125" s="375" t="str">
        <f t="shared" si="31"/>
        <v xml:space="preserve"> </v>
      </c>
      <c r="D125" s="403" t="s">
        <v>186</v>
      </c>
      <c r="E125" s="391">
        <v>5</v>
      </c>
      <c r="F125" s="391">
        <v>5</v>
      </c>
      <c r="G125" s="391">
        <v>3</v>
      </c>
      <c r="H125" s="391">
        <v>2</v>
      </c>
      <c r="I125" s="391">
        <v>8</v>
      </c>
      <c r="J125" s="391">
        <v>6</v>
      </c>
      <c r="K125" s="391">
        <v>17</v>
      </c>
      <c r="L125" s="391">
        <v>15</v>
      </c>
      <c r="M125" s="391">
        <v>6</v>
      </c>
      <c r="N125" s="391">
        <v>6</v>
      </c>
      <c r="O125" s="391">
        <v>23</v>
      </c>
      <c r="P125" s="391">
        <v>21</v>
      </c>
      <c r="Q125" s="391">
        <v>7</v>
      </c>
      <c r="R125" s="391">
        <v>7</v>
      </c>
      <c r="S125" s="391">
        <v>4</v>
      </c>
      <c r="T125" s="391">
        <v>4</v>
      </c>
      <c r="U125" s="391">
        <v>11</v>
      </c>
      <c r="V125" s="391">
        <v>11</v>
      </c>
      <c r="W125" s="391"/>
      <c r="X125" s="391"/>
      <c r="Y125" s="391">
        <v>1</v>
      </c>
      <c r="Z125" s="391">
        <v>1</v>
      </c>
      <c r="AA125" s="391">
        <v>1</v>
      </c>
      <c r="AB125" s="391">
        <v>1</v>
      </c>
      <c r="AC125" s="878">
        <f t="shared" si="21"/>
        <v>29</v>
      </c>
      <c r="AD125" s="878">
        <f t="shared" si="21"/>
        <v>27</v>
      </c>
      <c r="AE125" s="878">
        <f t="shared" si="21"/>
        <v>14</v>
      </c>
      <c r="AF125" s="878">
        <f t="shared" si="21"/>
        <v>13</v>
      </c>
      <c r="AG125" s="878">
        <f t="shared" si="22"/>
        <v>43</v>
      </c>
      <c r="AH125" s="879">
        <f t="shared" si="22"/>
        <v>40</v>
      </c>
      <c r="AI125" s="1194"/>
      <c r="AJ125" s="378"/>
      <c r="AK125" s="378"/>
      <c r="AL125" s="378"/>
      <c r="AM125" s="378"/>
    </row>
    <row r="126" spans="1:39" ht="13.5" customHeight="1">
      <c r="A126" s="375" t="s">
        <v>664</v>
      </c>
      <c r="B126" s="375" t="str">
        <f t="shared" si="25"/>
        <v>LA ROCHELLE</v>
      </c>
      <c r="C126" s="375" t="str">
        <f t="shared" si="31"/>
        <v xml:space="preserve"> </v>
      </c>
      <c r="D126" s="397" t="s">
        <v>468</v>
      </c>
      <c r="E126" s="393"/>
      <c r="F126" s="393"/>
      <c r="G126" s="393">
        <v>3</v>
      </c>
      <c r="H126" s="393"/>
      <c r="I126" s="393">
        <v>3</v>
      </c>
      <c r="J126" s="393">
        <v>0</v>
      </c>
      <c r="K126" s="393">
        <v>1</v>
      </c>
      <c r="L126" s="393">
        <v>1</v>
      </c>
      <c r="M126" s="393">
        <v>1</v>
      </c>
      <c r="N126" s="393">
        <v>1</v>
      </c>
      <c r="O126" s="393">
        <v>2</v>
      </c>
      <c r="P126" s="393">
        <v>2</v>
      </c>
      <c r="Q126" s="393">
        <v>2</v>
      </c>
      <c r="R126" s="393">
        <v>2</v>
      </c>
      <c r="S126" s="393">
        <v>5</v>
      </c>
      <c r="T126" s="393">
        <v>5</v>
      </c>
      <c r="U126" s="393">
        <v>7</v>
      </c>
      <c r="V126" s="393">
        <v>7</v>
      </c>
      <c r="W126" s="393"/>
      <c r="X126" s="393"/>
      <c r="Y126" s="393"/>
      <c r="Z126" s="393"/>
      <c r="AA126" s="393"/>
      <c r="AB126" s="393">
        <v>0</v>
      </c>
      <c r="AC126" s="868">
        <f t="shared" si="21"/>
        <v>3</v>
      </c>
      <c r="AD126" s="868">
        <f t="shared" si="21"/>
        <v>3</v>
      </c>
      <c r="AE126" s="868">
        <f t="shared" si="21"/>
        <v>9</v>
      </c>
      <c r="AF126" s="868">
        <f t="shared" si="21"/>
        <v>6</v>
      </c>
      <c r="AG126" s="868">
        <f t="shared" si="22"/>
        <v>12</v>
      </c>
      <c r="AH126" s="869">
        <f t="shared" si="22"/>
        <v>9</v>
      </c>
      <c r="AI126" s="1194"/>
      <c r="AJ126" s="378"/>
      <c r="AK126" s="378"/>
      <c r="AL126" s="378"/>
      <c r="AM126" s="378"/>
    </row>
    <row r="127" spans="1:39" ht="13.5" customHeight="1">
      <c r="A127" s="375" t="s">
        <v>665</v>
      </c>
      <c r="B127" s="375" t="str">
        <f t="shared" si="25"/>
        <v>POITIERS ENSMA</v>
      </c>
      <c r="C127" s="375" t="str">
        <f t="shared" si="31"/>
        <v xml:space="preserve"> </v>
      </c>
      <c r="D127" s="398" t="s">
        <v>469</v>
      </c>
      <c r="E127" s="381"/>
      <c r="F127" s="381"/>
      <c r="G127" s="381"/>
      <c r="H127" s="381"/>
      <c r="I127" s="381"/>
      <c r="J127" s="381">
        <v>0</v>
      </c>
      <c r="K127" s="381"/>
      <c r="L127" s="381"/>
      <c r="M127" s="381"/>
      <c r="N127" s="381"/>
      <c r="O127" s="381"/>
      <c r="P127" s="381">
        <v>0</v>
      </c>
      <c r="Q127" s="381">
        <v>4</v>
      </c>
      <c r="R127" s="381">
        <v>4</v>
      </c>
      <c r="S127" s="381">
        <v>1</v>
      </c>
      <c r="T127" s="381">
        <v>1</v>
      </c>
      <c r="U127" s="381">
        <v>5</v>
      </c>
      <c r="V127" s="381">
        <v>5</v>
      </c>
      <c r="W127" s="381"/>
      <c r="X127" s="381"/>
      <c r="Y127" s="381"/>
      <c r="Z127" s="381"/>
      <c r="AA127" s="381"/>
      <c r="AB127" s="381">
        <v>0</v>
      </c>
      <c r="AC127" s="870">
        <f t="shared" si="21"/>
        <v>4</v>
      </c>
      <c r="AD127" s="870">
        <f t="shared" si="21"/>
        <v>4</v>
      </c>
      <c r="AE127" s="870">
        <f t="shared" si="21"/>
        <v>1</v>
      </c>
      <c r="AF127" s="870">
        <f t="shared" si="21"/>
        <v>1</v>
      </c>
      <c r="AG127" s="870">
        <f t="shared" si="22"/>
        <v>5</v>
      </c>
      <c r="AH127" s="871">
        <f t="shared" si="22"/>
        <v>5</v>
      </c>
      <c r="AI127" s="1194"/>
      <c r="AJ127" s="378"/>
      <c r="AK127" s="378"/>
      <c r="AL127" s="378"/>
      <c r="AM127" s="378"/>
    </row>
    <row r="128" spans="1:39" ht="13.5" customHeight="1">
      <c r="B128" s="375" t="str">
        <f t="shared" si="25"/>
        <v/>
      </c>
      <c r="C128" s="375" t="str">
        <f t="shared" si="31"/>
        <v>ach</v>
      </c>
      <c r="D128" s="399" t="s">
        <v>470</v>
      </c>
      <c r="E128" s="389">
        <f>SUM(E125:E127)</f>
        <v>5</v>
      </c>
      <c r="F128" s="389">
        <f t="shared" ref="F128:AH128" si="35">SUM(F125:F127)</f>
        <v>5</v>
      </c>
      <c r="G128" s="389">
        <f t="shared" si="35"/>
        <v>6</v>
      </c>
      <c r="H128" s="389">
        <f t="shared" si="35"/>
        <v>2</v>
      </c>
      <c r="I128" s="389">
        <f t="shared" si="35"/>
        <v>11</v>
      </c>
      <c r="J128" s="389">
        <f t="shared" si="35"/>
        <v>6</v>
      </c>
      <c r="K128" s="389">
        <f t="shared" si="35"/>
        <v>18</v>
      </c>
      <c r="L128" s="389">
        <f t="shared" si="35"/>
        <v>16</v>
      </c>
      <c r="M128" s="389">
        <f t="shared" si="35"/>
        <v>7</v>
      </c>
      <c r="N128" s="389">
        <f t="shared" si="35"/>
        <v>7</v>
      </c>
      <c r="O128" s="389">
        <f t="shared" si="35"/>
        <v>25</v>
      </c>
      <c r="P128" s="389">
        <f t="shared" si="35"/>
        <v>23</v>
      </c>
      <c r="Q128" s="389">
        <f t="shared" si="35"/>
        <v>13</v>
      </c>
      <c r="R128" s="389">
        <f t="shared" si="35"/>
        <v>13</v>
      </c>
      <c r="S128" s="389">
        <f t="shared" si="35"/>
        <v>10</v>
      </c>
      <c r="T128" s="389">
        <f t="shared" si="35"/>
        <v>10</v>
      </c>
      <c r="U128" s="389">
        <f t="shared" si="35"/>
        <v>23</v>
      </c>
      <c r="V128" s="389">
        <f t="shared" si="35"/>
        <v>23</v>
      </c>
      <c r="W128" s="389">
        <f t="shared" si="35"/>
        <v>0</v>
      </c>
      <c r="X128" s="389">
        <f t="shared" si="35"/>
        <v>0</v>
      </c>
      <c r="Y128" s="389">
        <f t="shared" si="35"/>
        <v>1</v>
      </c>
      <c r="Z128" s="389">
        <f t="shared" si="35"/>
        <v>1</v>
      </c>
      <c r="AA128" s="389">
        <f t="shared" si="35"/>
        <v>1</v>
      </c>
      <c r="AB128" s="389">
        <f t="shared" si="35"/>
        <v>1</v>
      </c>
      <c r="AC128" s="389">
        <f t="shared" si="35"/>
        <v>36</v>
      </c>
      <c r="AD128" s="389">
        <f t="shared" si="35"/>
        <v>34</v>
      </c>
      <c r="AE128" s="389">
        <f t="shared" si="35"/>
        <v>24</v>
      </c>
      <c r="AF128" s="389">
        <f t="shared" si="35"/>
        <v>20</v>
      </c>
      <c r="AG128" s="389">
        <f t="shared" si="35"/>
        <v>60</v>
      </c>
      <c r="AH128" s="1179">
        <f t="shared" si="35"/>
        <v>54</v>
      </c>
      <c r="AI128" s="1194"/>
      <c r="AJ128" s="378"/>
      <c r="AK128" s="378"/>
      <c r="AL128" s="378"/>
      <c r="AM128" s="378"/>
    </row>
    <row r="129" spans="1:39" ht="13.5" customHeight="1">
      <c r="A129" s="375" t="s">
        <v>666</v>
      </c>
      <c r="B129" s="375" t="str">
        <f t="shared" si="25"/>
        <v>REIMS</v>
      </c>
      <c r="C129" s="375" t="str">
        <f t="shared" si="31"/>
        <v xml:space="preserve"> </v>
      </c>
      <c r="D129" s="403" t="s">
        <v>187</v>
      </c>
      <c r="E129" s="391">
        <v>10</v>
      </c>
      <c r="F129" s="391">
        <v>10</v>
      </c>
      <c r="G129" s="391"/>
      <c r="H129" s="391"/>
      <c r="I129" s="391">
        <v>10</v>
      </c>
      <c r="J129" s="391">
        <v>10</v>
      </c>
      <c r="K129" s="391">
        <v>9</v>
      </c>
      <c r="L129" s="391">
        <v>9</v>
      </c>
      <c r="M129" s="391">
        <v>3</v>
      </c>
      <c r="N129" s="391">
        <v>3</v>
      </c>
      <c r="O129" s="391">
        <v>12</v>
      </c>
      <c r="P129" s="391">
        <v>12</v>
      </c>
      <c r="Q129" s="391">
        <v>5</v>
      </c>
      <c r="R129" s="391">
        <v>5</v>
      </c>
      <c r="S129" s="391">
        <v>5</v>
      </c>
      <c r="T129" s="391">
        <v>5</v>
      </c>
      <c r="U129" s="391">
        <v>10</v>
      </c>
      <c r="V129" s="391">
        <v>10</v>
      </c>
      <c r="W129" s="391">
        <v>2</v>
      </c>
      <c r="X129" s="391">
        <v>1</v>
      </c>
      <c r="Y129" s="391">
        <v>1</v>
      </c>
      <c r="Z129" s="391">
        <v>1</v>
      </c>
      <c r="AA129" s="391">
        <v>3</v>
      </c>
      <c r="AB129" s="391">
        <v>2</v>
      </c>
      <c r="AC129" s="878">
        <f t="shared" si="21"/>
        <v>26</v>
      </c>
      <c r="AD129" s="878">
        <f t="shared" si="21"/>
        <v>25</v>
      </c>
      <c r="AE129" s="878">
        <f t="shared" si="21"/>
        <v>9</v>
      </c>
      <c r="AF129" s="878">
        <f t="shared" si="21"/>
        <v>9</v>
      </c>
      <c r="AG129" s="878">
        <f t="shared" si="22"/>
        <v>35</v>
      </c>
      <c r="AH129" s="879">
        <f t="shared" si="22"/>
        <v>34</v>
      </c>
      <c r="AI129" s="1194"/>
      <c r="AJ129" s="378"/>
      <c r="AK129" s="378"/>
      <c r="AL129" s="378"/>
      <c r="AM129" s="378"/>
    </row>
    <row r="130" spans="1:39" ht="13.5" customHeight="1">
      <c r="A130" s="375" t="s">
        <v>667</v>
      </c>
      <c r="B130" s="375" t="str">
        <f t="shared" si="25"/>
        <v>TROYES UTT</v>
      </c>
      <c r="C130" s="375" t="str">
        <f t="shared" si="31"/>
        <v>ach</v>
      </c>
      <c r="D130" s="400" t="s">
        <v>471</v>
      </c>
      <c r="E130" s="394"/>
      <c r="F130" s="394"/>
      <c r="G130" s="394"/>
      <c r="H130" s="394"/>
      <c r="I130" s="394"/>
      <c r="J130" s="394">
        <v>0</v>
      </c>
      <c r="K130" s="394"/>
      <c r="L130" s="394"/>
      <c r="M130" s="394"/>
      <c r="N130" s="394"/>
      <c r="O130" s="394"/>
      <c r="P130" s="394">
        <v>0</v>
      </c>
      <c r="Q130" s="394">
        <v>2</v>
      </c>
      <c r="R130" s="394">
        <v>2</v>
      </c>
      <c r="S130" s="394"/>
      <c r="T130" s="394"/>
      <c r="U130" s="394">
        <v>2</v>
      </c>
      <c r="V130" s="394">
        <v>2</v>
      </c>
      <c r="W130" s="394"/>
      <c r="X130" s="394"/>
      <c r="Y130" s="394"/>
      <c r="Z130" s="394"/>
      <c r="AA130" s="394"/>
      <c r="AB130" s="394">
        <v>0</v>
      </c>
      <c r="AC130" s="874">
        <f t="shared" ref="AC130:AF167" si="36">E130+K130+Q130+W130</f>
        <v>2</v>
      </c>
      <c r="AD130" s="874">
        <f t="shared" si="36"/>
        <v>2</v>
      </c>
      <c r="AE130" s="874">
        <f t="shared" si="36"/>
        <v>0</v>
      </c>
      <c r="AF130" s="874">
        <f t="shared" si="36"/>
        <v>0</v>
      </c>
      <c r="AG130" s="874">
        <f t="shared" ref="AG130:AH167" si="37">AC130+AE130</f>
        <v>2</v>
      </c>
      <c r="AH130" s="875">
        <f t="shared" si="37"/>
        <v>2</v>
      </c>
      <c r="AI130" s="1194"/>
      <c r="AJ130" s="378"/>
      <c r="AK130" s="378"/>
      <c r="AL130" s="378"/>
      <c r="AM130" s="378"/>
    </row>
    <row r="131" spans="1:39" ht="13.5" customHeight="1">
      <c r="B131" s="375" t="str">
        <f t="shared" si="25"/>
        <v/>
      </c>
      <c r="C131" s="375" t="str">
        <f t="shared" si="31"/>
        <v>ach</v>
      </c>
      <c r="D131" s="399" t="s">
        <v>472</v>
      </c>
      <c r="E131" s="389">
        <f>SUM(E129:E130)</f>
        <v>10</v>
      </c>
      <c r="F131" s="389">
        <f t="shared" ref="F131:AH131" si="38">SUM(F129:F130)</f>
        <v>10</v>
      </c>
      <c r="G131" s="389">
        <f t="shared" si="38"/>
        <v>0</v>
      </c>
      <c r="H131" s="389">
        <f t="shared" si="38"/>
        <v>0</v>
      </c>
      <c r="I131" s="389">
        <f t="shared" si="38"/>
        <v>10</v>
      </c>
      <c r="J131" s="389">
        <f t="shared" si="38"/>
        <v>10</v>
      </c>
      <c r="K131" s="389">
        <f t="shared" si="38"/>
        <v>9</v>
      </c>
      <c r="L131" s="389">
        <f t="shared" si="38"/>
        <v>9</v>
      </c>
      <c r="M131" s="389">
        <f t="shared" si="38"/>
        <v>3</v>
      </c>
      <c r="N131" s="389">
        <f t="shared" si="38"/>
        <v>3</v>
      </c>
      <c r="O131" s="389">
        <f t="shared" si="38"/>
        <v>12</v>
      </c>
      <c r="P131" s="389">
        <f t="shared" si="38"/>
        <v>12</v>
      </c>
      <c r="Q131" s="389">
        <f t="shared" si="38"/>
        <v>7</v>
      </c>
      <c r="R131" s="389">
        <f t="shared" si="38"/>
        <v>7</v>
      </c>
      <c r="S131" s="389">
        <f t="shared" si="38"/>
        <v>5</v>
      </c>
      <c r="T131" s="389">
        <f t="shared" si="38"/>
        <v>5</v>
      </c>
      <c r="U131" s="389">
        <f t="shared" si="38"/>
        <v>12</v>
      </c>
      <c r="V131" s="389">
        <f t="shared" si="38"/>
        <v>12</v>
      </c>
      <c r="W131" s="389">
        <f t="shared" si="38"/>
        <v>2</v>
      </c>
      <c r="X131" s="389">
        <f t="shared" si="38"/>
        <v>1</v>
      </c>
      <c r="Y131" s="389">
        <f t="shared" si="38"/>
        <v>1</v>
      </c>
      <c r="Z131" s="389">
        <f t="shared" si="38"/>
        <v>1</v>
      </c>
      <c r="AA131" s="389">
        <f t="shared" si="38"/>
        <v>3</v>
      </c>
      <c r="AB131" s="389">
        <f t="shared" si="38"/>
        <v>2</v>
      </c>
      <c r="AC131" s="389">
        <f t="shared" si="38"/>
        <v>28</v>
      </c>
      <c r="AD131" s="389">
        <f t="shared" si="38"/>
        <v>27</v>
      </c>
      <c r="AE131" s="389">
        <f t="shared" si="38"/>
        <v>9</v>
      </c>
      <c r="AF131" s="389">
        <f t="shared" si="38"/>
        <v>9</v>
      </c>
      <c r="AG131" s="389">
        <f t="shared" si="38"/>
        <v>37</v>
      </c>
      <c r="AH131" s="1179">
        <f t="shared" si="38"/>
        <v>36</v>
      </c>
      <c r="AI131" s="1194"/>
      <c r="AJ131" s="378"/>
      <c r="AK131" s="378"/>
      <c r="AL131" s="378"/>
      <c r="AM131" s="378"/>
    </row>
    <row r="132" spans="1:39" ht="13.5" customHeight="1">
      <c r="A132" s="375" t="s">
        <v>668</v>
      </c>
      <c r="B132" s="375" t="str">
        <f t="shared" si="25"/>
        <v>RENNES 1</v>
      </c>
      <c r="C132" s="375" t="str">
        <f t="shared" si="31"/>
        <v xml:space="preserve"> </v>
      </c>
      <c r="D132" s="403" t="s">
        <v>473</v>
      </c>
      <c r="E132" s="391">
        <v>8</v>
      </c>
      <c r="F132" s="391">
        <v>8</v>
      </c>
      <c r="G132" s="391">
        <v>3</v>
      </c>
      <c r="H132" s="391">
        <v>2</v>
      </c>
      <c r="I132" s="391">
        <v>11</v>
      </c>
      <c r="J132" s="391">
        <v>10</v>
      </c>
      <c r="K132" s="391"/>
      <c r="L132" s="391"/>
      <c r="M132" s="391"/>
      <c r="N132" s="391"/>
      <c r="O132" s="391"/>
      <c r="P132" s="391">
        <v>0</v>
      </c>
      <c r="Q132" s="391">
        <v>9</v>
      </c>
      <c r="R132" s="391">
        <v>9</v>
      </c>
      <c r="S132" s="391">
        <v>9</v>
      </c>
      <c r="T132" s="391">
        <v>9</v>
      </c>
      <c r="U132" s="391">
        <v>18</v>
      </c>
      <c r="V132" s="391">
        <v>18</v>
      </c>
      <c r="W132" s="391">
        <v>1</v>
      </c>
      <c r="X132" s="391">
        <v>1</v>
      </c>
      <c r="Y132" s="391"/>
      <c r="Z132" s="391"/>
      <c r="AA132" s="391">
        <v>1</v>
      </c>
      <c r="AB132" s="391">
        <v>1</v>
      </c>
      <c r="AC132" s="878">
        <f t="shared" si="36"/>
        <v>18</v>
      </c>
      <c r="AD132" s="878">
        <f t="shared" si="36"/>
        <v>18</v>
      </c>
      <c r="AE132" s="878">
        <f t="shared" si="36"/>
        <v>12</v>
      </c>
      <c r="AF132" s="878">
        <f t="shared" si="36"/>
        <v>11</v>
      </c>
      <c r="AG132" s="878">
        <f t="shared" si="37"/>
        <v>30</v>
      </c>
      <c r="AH132" s="879">
        <f t="shared" si="37"/>
        <v>29</v>
      </c>
      <c r="AI132" s="1194"/>
      <c r="AJ132" s="378"/>
      <c r="AK132" s="378"/>
      <c r="AL132" s="378"/>
      <c r="AM132" s="378"/>
    </row>
    <row r="133" spans="1:39" ht="13.5" customHeight="1">
      <c r="A133" s="375" t="s">
        <v>669</v>
      </c>
      <c r="B133" s="375" t="str">
        <f t="shared" si="25"/>
        <v>RENNES 2</v>
      </c>
      <c r="C133" s="375" t="str">
        <f t="shared" si="31"/>
        <v xml:space="preserve"> </v>
      </c>
      <c r="D133" s="397" t="s">
        <v>474</v>
      </c>
      <c r="E133" s="393">
        <v>1</v>
      </c>
      <c r="F133" s="393">
        <v>1</v>
      </c>
      <c r="G133" s="393"/>
      <c r="H133" s="393"/>
      <c r="I133" s="393">
        <v>1</v>
      </c>
      <c r="J133" s="393">
        <v>1</v>
      </c>
      <c r="K133" s="393">
        <v>14</v>
      </c>
      <c r="L133" s="393">
        <v>13</v>
      </c>
      <c r="M133" s="393">
        <v>11</v>
      </c>
      <c r="N133" s="393">
        <v>10</v>
      </c>
      <c r="O133" s="393">
        <v>25</v>
      </c>
      <c r="P133" s="393">
        <v>23</v>
      </c>
      <c r="Q133" s="393">
        <v>1</v>
      </c>
      <c r="R133" s="393">
        <v>1</v>
      </c>
      <c r="S133" s="393"/>
      <c r="T133" s="393"/>
      <c r="U133" s="393">
        <v>1</v>
      </c>
      <c r="V133" s="393">
        <v>1</v>
      </c>
      <c r="W133" s="393"/>
      <c r="X133" s="393"/>
      <c r="Y133" s="393"/>
      <c r="Z133" s="393"/>
      <c r="AA133" s="393"/>
      <c r="AB133" s="393">
        <v>0</v>
      </c>
      <c r="AC133" s="868">
        <f t="shared" si="36"/>
        <v>16</v>
      </c>
      <c r="AD133" s="868">
        <f t="shared" si="36"/>
        <v>15</v>
      </c>
      <c r="AE133" s="868">
        <f t="shared" si="36"/>
        <v>11</v>
      </c>
      <c r="AF133" s="868">
        <f t="shared" si="36"/>
        <v>10</v>
      </c>
      <c r="AG133" s="868">
        <f t="shared" si="37"/>
        <v>27</v>
      </c>
      <c r="AH133" s="869">
        <f t="shared" si="37"/>
        <v>25</v>
      </c>
      <c r="AI133" s="1194"/>
      <c r="AJ133" s="378"/>
      <c r="AK133" s="378"/>
      <c r="AL133" s="378"/>
      <c r="AM133" s="378"/>
    </row>
    <row r="134" spans="1:39" ht="13.5" customHeight="1">
      <c r="A134" s="375" t="s">
        <v>670</v>
      </c>
      <c r="B134" s="375" t="str">
        <f t="shared" si="25"/>
        <v>BREST</v>
      </c>
      <c r="C134" s="375" t="str">
        <f t="shared" si="31"/>
        <v xml:space="preserve"> </v>
      </c>
      <c r="D134" s="397" t="s">
        <v>475</v>
      </c>
      <c r="E134" s="393">
        <v>2</v>
      </c>
      <c r="F134" s="393">
        <v>2</v>
      </c>
      <c r="G134" s="393">
        <v>2</v>
      </c>
      <c r="H134" s="393">
        <v>2</v>
      </c>
      <c r="I134" s="393">
        <v>4</v>
      </c>
      <c r="J134" s="393">
        <v>3</v>
      </c>
      <c r="K134" s="393">
        <v>6</v>
      </c>
      <c r="L134" s="393">
        <v>6</v>
      </c>
      <c r="M134" s="393">
        <v>5</v>
      </c>
      <c r="N134" s="393">
        <v>5</v>
      </c>
      <c r="O134" s="393">
        <v>11</v>
      </c>
      <c r="P134" s="393">
        <v>11</v>
      </c>
      <c r="Q134" s="393">
        <v>4</v>
      </c>
      <c r="R134" s="393">
        <v>4</v>
      </c>
      <c r="S134" s="393">
        <v>1</v>
      </c>
      <c r="T134" s="393">
        <v>1</v>
      </c>
      <c r="U134" s="393">
        <v>5</v>
      </c>
      <c r="V134" s="393">
        <v>5</v>
      </c>
      <c r="W134" s="393"/>
      <c r="X134" s="393"/>
      <c r="Y134" s="393"/>
      <c r="Z134" s="393"/>
      <c r="AA134" s="393"/>
      <c r="AB134" s="393">
        <v>0</v>
      </c>
      <c r="AC134" s="868">
        <f t="shared" si="36"/>
        <v>12</v>
      </c>
      <c r="AD134" s="868">
        <f t="shared" si="36"/>
        <v>12</v>
      </c>
      <c r="AE134" s="868">
        <f t="shared" si="36"/>
        <v>8</v>
      </c>
      <c r="AF134" s="868">
        <f t="shared" si="36"/>
        <v>8</v>
      </c>
      <c r="AG134" s="868">
        <f t="shared" si="37"/>
        <v>20</v>
      </c>
      <c r="AH134" s="869">
        <f t="shared" si="37"/>
        <v>20</v>
      </c>
      <c r="AI134" s="1194"/>
      <c r="AJ134" s="378"/>
      <c r="AK134" s="378"/>
      <c r="AL134" s="378"/>
      <c r="AM134" s="378"/>
    </row>
    <row r="135" spans="1:39" ht="13.5" customHeight="1">
      <c r="A135" s="375" t="s">
        <v>671</v>
      </c>
      <c r="B135" s="375" t="str">
        <f t="shared" si="25"/>
        <v>BRETAGNE SUD</v>
      </c>
      <c r="C135" s="375" t="str">
        <f t="shared" si="31"/>
        <v xml:space="preserve"> </v>
      </c>
      <c r="D135" s="397" t="s">
        <v>476</v>
      </c>
      <c r="E135" s="393">
        <v>4</v>
      </c>
      <c r="F135" s="393">
        <v>4</v>
      </c>
      <c r="G135" s="393"/>
      <c r="H135" s="393"/>
      <c r="I135" s="393">
        <v>4</v>
      </c>
      <c r="J135" s="393">
        <v>4</v>
      </c>
      <c r="K135" s="393">
        <v>2</v>
      </c>
      <c r="L135" s="393">
        <v>2</v>
      </c>
      <c r="M135" s="393">
        <v>1</v>
      </c>
      <c r="N135" s="393">
        <v>1</v>
      </c>
      <c r="O135" s="393">
        <v>3</v>
      </c>
      <c r="P135" s="393">
        <v>3</v>
      </c>
      <c r="Q135" s="393">
        <v>1</v>
      </c>
      <c r="R135" s="393">
        <v>1</v>
      </c>
      <c r="S135" s="393">
        <v>3</v>
      </c>
      <c r="T135" s="393">
        <v>3</v>
      </c>
      <c r="U135" s="393">
        <v>4</v>
      </c>
      <c r="V135" s="393">
        <v>4</v>
      </c>
      <c r="W135" s="393"/>
      <c r="X135" s="393"/>
      <c r="Y135" s="393"/>
      <c r="Z135" s="393"/>
      <c r="AA135" s="393"/>
      <c r="AB135" s="393">
        <v>0</v>
      </c>
      <c r="AC135" s="868">
        <f t="shared" si="36"/>
        <v>7</v>
      </c>
      <c r="AD135" s="868">
        <f t="shared" si="36"/>
        <v>7</v>
      </c>
      <c r="AE135" s="868">
        <f t="shared" si="36"/>
        <v>4</v>
      </c>
      <c r="AF135" s="868">
        <f t="shared" si="36"/>
        <v>4</v>
      </c>
      <c r="AG135" s="868">
        <f t="shared" si="37"/>
        <v>11</v>
      </c>
      <c r="AH135" s="869">
        <f t="shared" si="37"/>
        <v>11</v>
      </c>
      <c r="AI135" s="1194"/>
      <c r="AJ135" s="378"/>
      <c r="AK135" s="378"/>
      <c r="AL135" s="378"/>
      <c r="AM135" s="378"/>
    </row>
    <row r="136" spans="1:39" ht="13.5" customHeight="1">
      <c r="B136" s="1177"/>
      <c r="C136" s="375" t="str">
        <f t="shared" si="31"/>
        <v>ach</v>
      </c>
      <c r="D136" s="397" t="s">
        <v>477</v>
      </c>
      <c r="E136" s="393">
        <v>1</v>
      </c>
      <c r="F136" s="393">
        <v>1</v>
      </c>
      <c r="G136" s="393"/>
      <c r="H136" s="393"/>
      <c r="I136" s="393">
        <v>1</v>
      </c>
      <c r="J136" s="393">
        <v>1</v>
      </c>
      <c r="K136" s="393">
        <v>1</v>
      </c>
      <c r="L136" s="393">
        <v>1</v>
      </c>
      <c r="M136" s="393"/>
      <c r="N136" s="393"/>
      <c r="O136" s="393">
        <v>1</v>
      </c>
      <c r="P136" s="393">
        <v>1</v>
      </c>
      <c r="Q136" s="393"/>
      <c r="R136" s="393"/>
      <c r="S136" s="393"/>
      <c r="T136" s="393"/>
      <c r="U136" s="393"/>
      <c r="V136" s="393">
        <v>0</v>
      </c>
      <c r="W136" s="393"/>
      <c r="X136" s="393"/>
      <c r="Y136" s="393"/>
      <c r="Z136" s="393"/>
      <c r="AA136" s="393"/>
      <c r="AB136" s="393">
        <v>0</v>
      </c>
      <c r="AC136" s="868">
        <f t="shared" ref="AC136:AF139" si="39">E136+K136+Q136+W136</f>
        <v>2</v>
      </c>
      <c r="AD136" s="868">
        <f t="shared" si="39"/>
        <v>2</v>
      </c>
      <c r="AE136" s="868">
        <f t="shared" si="39"/>
        <v>0</v>
      </c>
      <c r="AF136" s="868">
        <f t="shared" si="39"/>
        <v>0</v>
      </c>
      <c r="AG136" s="868">
        <f t="shared" ref="AG136:AH139" si="40">AC136+AE136</f>
        <v>2</v>
      </c>
      <c r="AH136" s="869">
        <f t="shared" si="40"/>
        <v>2</v>
      </c>
      <c r="AI136" s="1194"/>
      <c r="AJ136" s="378"/>
      <c r="AK136" s="378"/>
      <c r="AL136" s="378"/>
      <c r="AM136" s="378"/>
    </row>
    <row r="137" spans="1:39" ht="13.5" customHeight="1">
      <c r="A137" s="375" t="s">
        <v>672</v>
      </c>
      <c r="B137" s="375" t="str">
        <f t="shared" si="25"/>
        <v>RENNES INSA</v>
      </c>
      <c r="C137" s="375" t="str">
        <f t="shared" ref="C137:C166" si="41">IF(B137=D137," ","ach")</f>
        <v xml:space="preserve"> </v>
      </c>
      <c r="D137" s="397" t="s">
        <v>478</v>
      </c>
      <c r="E137" s="393"/>
      <c r="F137" s="393"/>
      <c r="G137" s="393"/>
      <c r="H137" s="393"/>
      <c r="I137" s="393"/>
      <c r="J137" s="393">
        <v>0</v>
      </c>
      <c r="K137" s="393"/>
      <c r="L137" s="393"/>
      <c r="M137" s="393"/>
      <c r="N137" s="393"/>
      <c r="O137" s="393"/>
      <c r="P137" s="393">
        <v>0</v>
      </c>
      <c r="Q137" s="393">
        <v>4</v>
      </c>
      <c r="R137" s="393">
        <v>4</v>
      </c>
      <c r="S137" s="393">
        <v>1</v>
      </c>
      <c r="T137" s="393">
        <v>1</v>
      </c>
      <c r="U137" s="393">
        <v>5</v>
      </c>
      <c r="V137" s="393">
        <v>5</v>
      </c>
      <c r="W137" s="393"/>
      <c r="X137" s="393"/>
      <c r="Y137" s="393"/>
      <c r="Z137" s="393"/>
      <c r="AA137" s="393"/>
      <c r="AB137" s="393">
        <v>0</v>
      </c>
      <c r="AC137" s="868">
        <f t="shared" si="39"/>
        <v>4</v>
      </c>
      <c r="AD137" s="868">
        <f t="shared" si="39"/>
        <v>4</v>
      </c>
      <c r="AE137" s="868">
        <f t="shared" si="39"/>
        <v>1</v>
      </c>
      <c r="AF137" s="868">
        <f t="shared" si="39"/>
        <v>1</v>
      </c>
      <c r="AG137" s="868">
        <f t="shared" si="40"/>
        <v>5</v>
      </c>
      <c r="AH137" s="869">
        <f t="shared" si="40"/>
        <v>5</v>
      </c>
      <c r="AI137" s="1194"/>
      <c r="AJ137" s="378"/>
      <c r="AK137" s="378"/>
      <c r="AL137" s="378"/>
      <c r="AM137" s="378"/>
    </row>
    <row r="138" spans="1:39" ht="13.5" customHeight="1">
      <c r="A138" s="375" t="s">
        <v>673</v>
      </c>
      <c r="B138" s="375" t="str">
        <f t="shared" si="25"/>
        <v>RENNES ENS CHIMIE</v>
      </c>
      <c r="C138" s="375" t="str">
        <f t="shared" si="41"/>
        <v>ach</v>
      </c>
      <c r="D138" s="397" t="s">
        <v>564</v>
      </c>
      <c r="E138" s="393"/>
      <c r="F138" s="393"/>
      <c r="G138" s="393"/>
      <c r="H138" s="393"/>
      <c r="I138" s="393"/>
      <c r="J138" s="393">
        <v>0</v>
      </c>
      <c r="K138" s="393"/>
      <c r="L138" s="393"/>
      <c r="M138" s="393"/>
      <c r="N138" s="393"/>
      <c r="O138" s="393"/>
      <c r="P138" s="393">
        <v>0</v>
      </c>
      <c r="Q138" s="393">
        <v>1</v>
      </c>
      <c r="R138" s="393">
        <v>1</v>
      </c>
      <c r="S138" s="393"/>
      <c r="T138" s="393"/>
      <c r="U138" s="393">
        <v>1</v>
      </c>
      <c r="V138" s="393">
        <v>1</v>
      </c>
      <c r="W138" s="393"/>
      <c r="X138" s="393"/>
      <c r="Y138" s="393"/>
      <c r="Z138" s="393"/>
      <c r="AA138" s="393"/>
      <c r="AB138" s="393">
        <v>0</v>
      </c>
      <c r="AC138" s="868">
        <f t="shared" si="39"/>
        <v>1</v>
      </c>
      <c r="AD138" s="868">
        <f t="shared" si="39"/>
        <v>1</v>
      </c>
      <c r="AE138" s="868">
        <f t="shared" si="39"/>
        <v>0</v>
      </c>
      <c r="AF138" s="868">
        <f t="shared" si="39"/>
        <v>0</v>
      </c>
      <c r="AG138" s="868">
        <f t="shared" si="40"/>
        <v>1</v>
      </c>
      <c r="AH138" s="869">
        <f t="shared" si="40"/>
        <v>1</v>
      </c>
      <c r="AI138" s="1194"/>
      <c r="AJ138" s="378"/>
      <c r="AK138" s="378"/>
      <c r="AL138" s="378"/>
      <c r="AM138" s="378"/>
    </row>
    <row r="139" spans="1:39" ht="13.5" customHeight="1">
      <c r="A139" s="375" t="s">
        <v>674</v>
      </c>
      <c r="B139" s="375" t="str">
        <f t="shared" si="25"/>
        <v>BREST ENI</v>
      </c>
      <c r="C139" s="375" t="str">
        <f t="shared" si="41"/>
        <v>ach</v>
      </c>
      <c r="D139" s="397" t="s">
        <v>720</v>
      </c>
      <c r="E139" s="393"/>
      <c r="F139" s="393"/>
      <c r="G139" s="393">
        <v>1</v>
      </c>
      <c r="H139" s="393">
        <v>1</v>
      </c>
      <c r="I139" s="393">
        <v>1</v>
      </c>
      <c r="J139" s="393">
        <v>1</v>
      </c>
      <c r="K139" s="393"/>
      <c r="L139" s="393"/>
      <c r="M139" s="393"/>
      <c r="N139" s="393"/>
      <c r="O139" s="393"/>
      <c r="P139" s="393">
        <v>0</v>
      </c>
      <c r="Q139" s="393"/>
      <c r="R139" s="393"/>
      <c r="S139" s="393">
        <v>1</v>
      </c>
      <c r="T139" s="393">
        <v>1</v>
      </c>
      <c r="U139" s="393">
        <v>1</v>
      </c>
      <c r="V139" s="393">
        <v>1</v>
      </c>
      <c r="W139" s="393"/>
      <c r="X139" s="393"/>
      <c r="Y139" s="393"/>
      <c r="Z139" s="393"/>
      <c r="AA139" s="393"/>
      <c r="AB139" s="393">
        <v>0</v>
      </c>
      <c r="AC139" s="868">
        <f t="shared" si="39"/>
        <v>0</v>
      </c>
      <c r="AD139" s="868">
        <f t="shared" si="39"/>
        <v>0</v>
      </c>
      <c r="AE139" s="868">
        <f t="shared" si="39"/>
        <v>2</v>
      </c>
      <c r="AF139" s="868">
        <f t="shared" si="39"/>
        <v>2</v>
      </c>
      <c r="AG139" s="868">
        <f t="shared" si="40"/>
        <v>2</v>
      </c>
      <c r="AH139" s="869">
        <f t="shared" si="40"/>
        <v>2</v>
      </c>
      <c r="AI139" s="1194"/>
      <c r="AJ139" s="378"/>
      <c r="AK139" s="378"/>
      <c r="AL139" s="378"/>
      <c r="AM139" s="378"/>
    </row>
    <row r="140" spans="1:39" ht="13.5" customHeight="1">
      <c r="B140" s="375" t="str">
        <f t="shared" si="25"/>
        <v/>
      </c>
      <c r="C140" s="375" t="str">
        <f t="shared" si="41"/>
        <v>ach</v>
      </c>
      <c r="D140" s="399" t="s">
        <v>479</v>
      </c>
      <c r="E140" s="389">
        <f t="shared" ref="E140:AH140" si="42">SUM(E132:E139)</f>
        <v>16</v>
      </c>
      <c r="F140" s="389">
        <f t="shared" si="42"/>
        <v>16</v>
      </c>
      <c r="G140" s="389">
        <f t="shared" si="42"/>
        <v>6</v>
      </c>
      <c r="H140" s="389">
        <f t="shared" si="42"/>
        <v>5</v>
      </c>
      <c r="I140" s="389">
        <f t="shared" si="42"/>
        <v>22</v>
      </c>
      <c r="J140" s="389">
        <f t="shared" si="42"/>
        <v>20</v>
      </c>
      <c r="K140" s="389">
        <f t="shared" si="42"/>
        <v>23</v>
      </c>
      <c r="L140" s="389">
        <f t="shared" si="42"/>
        <v>22</v>
      </c>
      <c r="M140" s="389">
        <f t="shared" si="42"/>
        <v>17</v>
      </c>
      <c r="N140" s="389">
        <f t="shared" si="42"/>
        <v>16</v>
      </c>
      <c r="O140" s="389">
        <f t="shared" si="42"/>
        <v>40</v>
      </c>
      <c r="P140" s="389">
        <f t="shared" si="42"/>
        <v>38</v>
      </c>
      <c r="Q140" s="389">
        <f t="shared" si="42"/>
        <v>20</v>
      </c>
      <c r="R140" s="389">
        <f t="shared" si="42"/>
        <v>20</v>
      </c>
      <c r="S140" s="389">
        <f t="shared" si="42"/>
        <v>15</v>
      </c>
      <c r="T140" s="389">
        <f t="shared" si="42"/>
        <v>15</v>
      </c>
      <c r="U140" s="389">
        <f t="shared" si="42"/>
        <v>35</v>
      </c>
      <c r="V140" s="389">
        <f t="shared" si="42"/>
        <v>35</v>
      </c>
      <c r="W140" s="389">
        <f t="shared" si="42"/>
        <v>1</v>
      </c>
      <c r="X140" s="389">
        <f t="shared" si="42"/>
        <v>1</v>
      </c>
      <c r="Y140" s="389">
        <f t="shared" si="42"/>
        <v>0</v>
      </c>
      <c r="Z140" s="389">
        <f t="shared" si="42"/>
        <v>0</v>
      </c>
      <c r="AA140" s="389">
        <f t="shared" si="42"/>
        <v>1</v>
      </c>
      <c r="AB140" s="389">
        <f t="shared" si="42"/>
        <v>1</v>
      </c>
      <c r="AC140" s="389">
        <f t="shared" si="42"/>
        <v>60</v>
      </c>
      <c r="AD140" s="389">
        <f t="shared" si="42"/>
        <v>59</v>
      </c>
      <c r="AE140" s="389">
        <f t="shared" si="42"/>
        <v>38</v>
      </c>
      <c r="AF140" s="389">
        <f t="shared" si="42"/>
        <v>36</v>
      </c>
      <c r="AG140" s="389">
        <f t="shared" si="42"/>
        <v>98</v>
      </c>
      <c r="AH140" s="1179">
        <f t="shared" si="42"/>
        <v>95</v>
      </c>
      <c r="AI140" s="1194"/>
      <c r="AJ140" s="378"/>
      <c r="AK140" s="378"/>
      <c r="AL140" s="378"/>
      <c r="AM140" s="378"/>
    </row>
    <row r="141" spans="1:39" ht="13.5" customHeight="1">
      <c r="A141" s="375" t="s">
        <v>675</v>
      </c>
      <c r="B141" s="375" t="str">
        <f t="shared" si="25"/>
        <v>ROUEN</v>
      </c>
      <c r="C141" s="375" t="str">
        <f t="shared" si="41"/>
        <v xml:space="preserve"> </v>
      </c>
      <c r="D141" s="396" t="s">
        <v>189</v>
      </c>
      <c r="E141" s="390">
        <v>1</v>
      </c>
      <c r="F141" s="390"/>
      <c r="G141" s="390">
        <v>4</v>
      </c>
      <c r="H141" s="390">
        <v>2</v>
      </c>
      <c r="I141" s="390">
        <v>5</v>
      </c>
      <c r="J141" s="390">
        <v>1</v>
      </c>
      <c r="K141" s="390">
        <v>12</v>
      </c>
      <c r="L141" s="390">
        <v>11</v>
      </c>
      <c r="M141" s="390">
        <v>6</v>
      </c>
      <c r="N141" s="390">
        <v>5</v>
      </c>
      <c r="O141" s="390">
        <v>18</v>
      </c>
      <c r="P141" s="390">
        <v>16</v>
      </c>
      <c r="Q141" s="390">
        <v>9</v>
      </c>
      <c r="R141" s="390">
        <v>9</v>
      </c>
      <c r="S141" s="390">
        <v>1</v>
      </c>
      <c r="T141" s="390">
        <v>1</v>
      </c>
      <c r="U141" s="390">
        <v>10</v>
      </c>
      <c r="V141" s="390">
        <v>8</v>
      </c>
      <c r="W141" s="390"/>
      <c r="X141" s="390"/>
      <c r="Y141" s="390">
        <v>1</v>
      </c>
      <c r="Z141" s="390">
        <v>1</v>
      </c>
      <c r="AA141" s="390">
        <v>1</v>
      </c>
      <c r="AB141" s="390">
        <v>1</v>
      </c>
      <c r="AC141" s="866">
        <f t="shared" si="36"/>
        <v>22</v>
      </c>
      <c r="AD141" s="866">
        <f t="shared" si="36"/>
        <v>20</v>
      </c>
      <c r="AE141" s="866">
        <f t="shared" si="36"/>
        <v>12</v>
      </c>
      <c r="AF141" s="866">
        <f t="shared" si="36"/>
        <v>9</v>
      </c>
      <c r="AG141" s="866">
        <f t="shared" si="37"/>
        <v>34</v>
      </c>
      <c r="AH141" s="867">
        <f t="shared" si="37"/>
        <v>29</v>
      </c>
      <c r="AI141" s="1194"/>
      <c r="AJ141" s="816"/>
      <c r="AK141" s="378"/>
      <c r="AL141" s="378"/>
      <c r="AM141" s="378"/>
    </row>
    <row r="142" spans="1:39" ht="13.5" customHeight="1">
      <c r="A142" s="375" t="s">
        <v>676</v>
      </c>
      <c r="B142" s="375" t="str">
        <f t="shared" si="25"/>
        <v>LE HAVRE</v>
      </c>
      <c r="C142" s="375" t="str">
        <f t="shared" si="41"/>
        <v xml:space="preserve"> </v>
      </c>
      <c r="D142" s="397" t="s">
        <v>480</v>
      </c>
      <c r="E142" s="393">
        <v>2</v>
      </c>
      <c r="F142" s="393">
        <v>2</v>
      </c>
      <c r="G142" s="393"/>
      <c r="H142" s="393"/>
      <c r="I142" s="393">
        <v>2</v>
      </c>
      <c r="J142" s="393">
        <v>2</v>
      </c>
      <c r="K142" s="393">
        <v>1</v>
      </c>
      <c r="L142" s="393">
        <v>1</v>
      </c>
      <c r="M142" s="393"/>
      <c r="N142" s="393"/>
      <c r="O142" s="393">
        <v>1</v>
      </c>
      <c r="P142" s="393">
        <v>1</v>
      </c>
      <c r="Q142" s="393"/>
      <c r="R142" s="393"/>
      <c r="S142" s="393">
        <v>1</v>
      </c>
      <c r="T142" s="393">
        <v>1</v>
      </c>
      <c r="U142" s="393">
        <v>1</v>
      </c>
      <c r="V142" s="393">
        <v>1</v>
      </c>
      <c r="W142" s="393"/>
      <c r="X142" s="393"/>
      <c r="Y142" s="393"/>
      <c r="Z142" s="393"/>
      <c r="AA142" s="393"/>
      <c r="AB142" s="393">
        <v>0</v>
      </c>
      <c r="AC142" s="868">
        <f t="shared" si="36"/>
        <v>3</v>
      </c>
      <c r="AD142" s="868">
        <f t="shared" si="36"/>
        <v>3</v>
      </c>
      <c r="AE142" s="868">
        <f t="shared" si="36"/>
        <v>1</v>
      </c>
      <c r="AF142" s="868">
        <f t="shared" si="36"/>
        <v>1</v>
      </c>
      <c r="AG142" s="868">
        <f t="shared" si="37"/>
        <v>4</v>
      </c>
      <c r="AH142" s="869">
        <f t="shared" si="37"/>
        <v>4</v>
      </c>
      <c r="AI142" s="1194"/>
      <c r="AJ142" s="816"/>
      <c r="AK142" s="378"/>
      <c r="AL142" s="378"/>
      <c r="AM142" s="378"/>
    </row>
    <row r="143" spans="1:39" ht="13.5" customHeight="1">
      <c r="A143" s="375" t="s">
        <v>677</v>
      </c>
      <c r="B143" s="375" t="str">
        <f t="shared" si="25"/>
        <v>ROUEN INSA</v>
      </c>
      <c r="C143" s="375" t="str">
        <f t="shared" si="41"/>
        <v xml:space="preserve"> </v>
      </c>
      <c r="D143" s="398" t="s">
        <v>481</v>
      </c>
      <c r="E143" s="381"/>
      <c r="F143" s="381"/>
      <c r="G143" s="381"/>
      <c r="H143" s="381"/>
      <c r="I143" s="381"/>
      <c r="J143" s="381">
        <v>0</v>
      </c>
      <c r="K143" s="381"/>
      <c r="L143" s="381"/>
      <c r="M143" s="381"/>
      <c r="N143" s="381"/>
      <c r="O143" s="381"/>
      <c r="P143" s="381">
        <v>0</v>
      </c>
      <c r="Q143" s="381">
        <v>4</v>
      </c>
      <c r="R143" s="381">
        <v>4</v>
      </c>
      <c r="S143" s="381">
        <v>1</v>
      </c>
      <c r="T143" s="381">
        <v>1</v>
      </c>
      <c r="U143" s="381">
        <v>5</v>
      </c>
      <c r="V143" s="381">
        <v>5</v>
      </c>
      <c r="W143" s="381"/>
      <c r="X143" s="381"/>
      <c r="Y143" s="381"/>
      <c r="Z143" s="381"/>
      <c r="AA143" s="381"/>
      <c r="AB143" s="381">
        <v>0</v>
      </c>
      <c r="AC143" s="870">
        <f t="shared" si="36"/>
        <v>4</v>
      </c>
      <c r="AD143" s="870">
        <f t="shared" si="36"/>
        <v>4</v>
      </c>
      <c r="AE143" s="870">
        <f t="shared" si="36"/>
        <v>1</v>
      </c>
      <c r="AF143" s="870">
        <f t="shared" si="36"/>
        <v>1</v>
      </c>
      <c r="AG143" s="870">
        <f t="shared" si="37"/>
        <v>5</v>
      </c>
      <c r="AH143" s="871">
        <f t="shared" si="37"/>
        <v>5</v>
      </c>
      <c r="AI143" s="1194"/>
      <c r="AJ143" s="378"/>
      <c r="AK143" s="378"/>
      <c r="AL143" s="378"/>
      <c r="AM143" s="378"/>
    </row>
    <row r="144" spans="1:39" ht="13.5" customHeight="1">
      <c r="B144" s="375" t="str">
        <f t="shared" si="25"/>
        <v/>
      </c>
      <c r="C144" s="375" t="str">
        <f t="shared" si="41"/>
        <v>ach</v>
      </c>
      <c r="D144" s="399" t="s">
        <v>482</v>
      </c>
      <c r="E144" s="389">
        <f>SUM(E141:E143)</f>
        <v>3</v>
      </c>
      <c r="F144" s="389">
        <f t="shared" ref="F144:AH144" si="43">SUM(F141:F143)</f>
        <v>2</v>
      </c>
      <c r="G144" s="389">
        <f t="shared" si="43"/>
        <v>4</v>
      </c>
      <c r="H144" s="389">
        <f t="shared" si="43"/>
        <v>2</v>
      </c>
      <c r="I144" s="389">
        <f t="shared" si="43"/>
        <v>7</v>
      </c>
      <c r="J144" s="389">
        <f t="shared" si="43"/>
        <v>3</v>
      </c>
      <c r="K144" s="389">
        <f t="shared" si="43"/>
        <v>13</v>
      </c>
      <c r="L144" s="389">
        <f t="shared" si="43"/>
        <v>12</v>
      </c>
      <c r="M144" s="389">
        <f t="shared" si="43"/>
        <v>6</v>
      </c>
      <c r="N144" s="389">
        <f t="shared" si="43"/>
        <v>5</v>
      </c>
      <c r="O144" s="389">
        <f t="shared" si="43"/>
        <v>19</v>
      </c>
      <c r="P144" s="389">
        <f t="shared" si="43"/>
        <v>17</v>
      </c>
      <c r="Q144" s="389">
        <f t="shared" si="43"/>
        <v>13</v>
      </c>
      <c r="R144" s="389">
        <f t="shared" si="43"/>
        <v>13</v>
      </c>
      <c r="S144" s="389">
        <f t="shared" si="43"/>
        <v>3</v>
      </c>
      <c r="T144" s="389">
        <f t="shared" si="43"/>
        <v>3</v>
      </c>
      <c r="U144" s="389">
        <f t="shared" si="43"/>
        <v>16</v>
      </c>
      <c r="V144" s="389">
        <f t="shared" si="43"/>
        <v>14</v>
      </c>
      <c r="W144" s="389">
        <f t="shared" si="43"/>
        <v>0</v>
      </c>
      <c r="X144" s="389">
        <f t="shared" si="43"/>
        <v>0</v>
      </c>
      <c r="Y144" s="389">
        <f t="shared" si="43"/>
        <v>1</v>
      </c>
      <c r="Z144" s="389">
        <f t="shared" si="43"/>
        <v>1</v>
      </c>
      <c r="AA144" s="389">
        <f t="shared" si="43"/>
        <v>1</v>
      </c>
      <c r="AB144" s="389">
        <f t="shared" si="43"/>
        <v>1</v>
      </c>
      <c r="AC144" s="389">
        <f t="shared" si="43"/>
        <v>29</v>
      </c>
      <c r="AD144" s="389">
        <f t="shared" si="43"/>
        <v>27</v>
      </c>
      <c r="AE144" s="389">
        <f t="shared" si="43"/>
        <v>14</v>
      </c>
      <c r="AF144" s="389">
        <f t="shared" si="43"/>
        <v>11</v>
      </c>
      <c r="AG144" s="389">
        <f t="shared" si="43"/>
        <v>43</v>
      </c>
      <c r="AH144" s="1179">
        <f t="shared" si="43"/>
        <v>38</v>
      </c>
      <c r="AI144" s="1194"/>
      <c r="AJ144" s="378"/>
      <c r="AK144" s="378"/>
      <c r="AL144" s="378"/>
      <c r="AM144" s="378"/>
    </row>
    <row r="145" spans="1:39" ht="13.5" customHeight="1">
      <c r="A145" s="375" t="s">
        <v>678</v>
      </c>
      <c r="B145" s="375" t="str">
        <f t="shared" si="25"/>
        <v>STRASBOURG</v>
      </c>
      <c r="C145" s="375" t="str">
        <f t="shared" si="41"/>
        <v xml:space="preserve"> </v>
      </c>
      <c r="D145" s="396" t="s">
        <v>190</v>
      </c>
      <c r="E145" s="390">
        <v>4</v>
      </c>
      <c r="F145" s="390">
        <v>4</v>
      </c>
      <c r="G145" s="390">
        <v>3</v>
      </c>
      <c r="H145" s="390">
        <v>3</v>
      </c>
      <c r="I145" s="390">
        <v>7</v>
      </c>
      <c r="J145" s="390">
        <v>6</v>
      </c>
      <c r="K145" s="390">
        <v>8</v>
      </c>
      <c r="L145" s="390">
        <v>8</v>
      </c>
      <c r="M145" s="390">
        <v>9</v>
      </c>
      <c r="N145" s="390">
        <v>9</v>
      </c>
      <c r="O145" s="390">
        <v>17</v>
      </c>
      <c r="P145" s="390">
        <v>17</v>
      </c>
      <c r="Q145" s="390">
        <v>6</v>
      </c>
      <c r="R145" s="390">
        <v>6</v>
      </c>
      <c r="S145" s="390">
        <v>5</v>
      </c>
      <c r="T145" s="390">
        <v>5</v>
      </c>
      <c r="U145" s="390">
        <v>11</v>
      </c>
      <c r="V145" s="390">
        <v>7</v>
      </c>
      <c r="W145" s="390">
        <v>2</v>
      </c>
      <c r="X145" s="390">
        <v>2</v>
      </c>
      <c r="Y145" s="390">
        <v>1</v>
      </c>
      <c r="Z145" s="390"/>
      <c r="AA145" s="390">
        <f>W145+Y145</f>
        <v>3</v>
      </c>
      <c r="AB145" s="390">
        <f>X145+Z145</f>
        <v>2</v>
      </c>
      <c r="AC145" s="866">
        <f t="shared" si="36"/>
        <v>20</v>
      </c>
      <c r="AD145" s="866">
        <f t="shared" si="36"/>
        <v>20</v>
      </c>
      <c r="AE145" s="866">
        <f t="shared" si="36"/>
        <v>18</v>
      </c>
      <c r="AF145" s="866">
        <f t="shared" si="36"/>
        <v>17</v>
      </c>
      <c r="AG145" s="866">
        <f t="shared" si="37"/>
        <v>38</v>
      </c>
      <c r="AH145" s="867">
        <f t="shared" si="37"/>
        <v>37</v>
      </c>
      <c r="AI145" s="1194"/>
      <c r="AJ145" s="378"/>
      <c r="AK145" s="378"/>
      <c r="AL145" s="378"/>
      <c r="AM145" s="378"/>
    </row>
    <row r="146" spans="1:39" ht="13.5" customHeight="1">
      <c r="A146" s="375" t="s">
        <v>679</v>
      </c>
      <c r="B146" s="375" t="str">
        <f t="shared" ref="B146:B181" si="44">MID(A146,6,20)</f>
        <v>MULHOUSE</v>
      </c>
      <c r="C146" s="375" t="str">
        <f t="shared" si="41"/>
        <v xml:space="preserve"> </v>
      </c>
      <c r="D146" s="397" t="s">
        <v>483</v>
      </c>
      <c r="E146" s="393">
        <v>2</v>
      </c>
      <c r="F146" s="393">
        <v>2</v>
      </c>
      <c r="G146" s="393"/>
      <c r="H146" s="393"/>
      <c r="I146" s="393">
        <v>2</v>
      </c>
      <c r="J146" s="393">
        <v>2</v>
      </c>
      <c r="K146" s="393">
        <v>2</v>
      </c>
      <c r="L146" s="393">
        <v>2</v>
      </c>
      <c r="M146" s="393">
        <v>1</v>
      </c>
      <c r="N146" s="393">
        <v>1</v>
      </c>
      <c r="O146" s="393">
        <v>3</v>
      </c>
      <c r="P146" s="393">
        <v>3</v>
      </c>
      <c r="Q146" s="393">
        <v>1</v>
      </c>
      <c r="R146" s="393">
        <v>1</v>
      </c>
      <c r="S146" s="393">
        <v>1</v>
      </c>
      <c r="T146" s="393">
        <v>1</v>
      </c>
      <c r="U146" s="393">
        <v>2</v>
      </c>
      <c r="V146" s="393">
        <v>2</v>
      </c>
      <c r="W146" s="393"/>
      <c r="X146" s="393"/>
      <c r="Y146" s="393"/>
      <c r="Z146" s="393"/>
      <c r="AA146" s="393"/>
      <c r="AB146" s="393">
        <v>0</v>
      </c>
      <c r="AC146" s="868">
        <f t="shared" si="36"/>
        <v>5</v>
      </c>
      <c r="AD146" s="868">
        <f t="shared" si="36"/>
        <v>5</v>
      </c>
      <c r="AE146" s="868">
        <f t="shared" si="36"/>
        <v>2</v>
      </c>
      <c r="AF146" s="868">
        <f t="shared" si="36"/>
        <v>2</v>
      </c>
      <c r="AG146" s="868">
        <f t="shared" si="37"/>
        <v>7</v>
      </c>
      <c r="AH146" s="869">
        <f t="shared" si="37"/>
        <v>7</v>
      </c>
      <c r="AI146" s="1194"/>
      <c r="AM146" s="378"/>
    </row>
    <row r="147" spans="1:39" ht="13.5" customHeight="1">
      <c r="A147" s="375" t="s">
        <v>680</v>
      </c>
      <c r="B147" s="375" t="str">
        <f t="shared" si="44"/>
        <v>STRASBOURG INSA</v>
      </c>
      <c r="C147" s="375" t="str">
        <f t="shared" si="41"/>
        <v xml:space="preserve"> </v>
      </c>
      <c r="D147" s="398" t="s">
        <v>484</v>
      </c>
      <c r="E147" s="381"/>
      <c r="F147" s="381"/>
      <c r="G147" s="381"/>
      <c r="H147" s="381"/>
      <c r="I147" s="381"/>
      <c r="J147" s="381">
        <v>0</v>
      </c>
      <c r="K147" s="381">
        <v>2</v>
      </c>
      <c r="L147" s="381">
        <v>1</v>
      </c>
      <c r="M147" s="381"/>
      <c r="N147" s="381"/>
      <c r="O147" s="381">
        <v>2</v>
      </c>
      <c r="P147" s="381">
        <v>1</v>
      </c>
      <c r="Q147" s="381">
        <v>4</v>
      </c>
      <c r="R147" s="381">
        <v>4</v>
      </c>
      <c r="S147" s="381"/>
      <c r="T147" s="381"/>
      <c r="U147" s="381">
        <v>4</v>
      </c>
      <c r="V147" s="381">
        <v>4</v>
      </c>
      <c r="W147" s="381"/>
      <c r="X147" s="381"/>
      <c r="Y147" s="381"/>
      <c r="Z147" s="381"/>
      <c r="AA147" s="381"/>
      <c r="AB147" s="381">
        <v>0</v>
      </c>
      <c r="AC147" s="870">
        <f t="shared" si="36"/>
        <v>6</v>
      </c>
      <c r="AD147" s="870">
        <f t="shared" si="36"/>
        <v>5</v>
      </c>
      <c r="AE147" s="870">
        <f t="shared" si="36"/>
        <v>0</v>
      </c>
      <c r="AF147" s="870">
        <f t="shared" si="36"/>
        <v>0</v>
      </c>
      <c r="AG147" s="870">
        <f t="shared" si="37"/>
        <v>6</v>
      </c>
      <c r="AH147" s="871">
        <f t="shared" si="37"/>
        <v>5</v>
      </c>
      <c r="AI147" s="1194"/>
      <c r="AM147" s="378"/>
    </row>
    <row r="148" spans="1:39" ht="13.5" customHeight="1">
      <c r="B148" s="375" t="str">
        <f t="shared" si="44"/>
        <v/>
      </c>
      <c r="C148" s="375" t="str">
        <f t="shared" si="41"/>
        <v>ach</v>
      </c>
      <c r="D148" s="399" t="s">
        <v>485</v>
      </c>
      <c r="E148" s="389">
        <f>SUM(E145:E147)</f>
        <v>6</v>
      </c>
      <c r="F148" s="389">
        <f t="shared" ref="F148:AH148" si="45">SUM(F145:F147)</f>
        <v>6</v>
      </c>
      <c r="G148" s="389">
        <f t="shared" si="45"/>
        <v>3</v>
      </c>
      <c r="H148" s="389">
        <f t="shared" si="45"/>
        <v>3</v>
      </c>
      <c r="I148" s="389">
        <f t="shared" si="45"/>
        <v>9</v>
      </c>
      <c r="J148" s="389">
        <f t="shared" si="45"/>
        <v>8</v>
      </c>
      <c r="K148" s="389">
        <f t="shared" si="45"/>
        <v>12</v>
      </c>
      <c r="L148" s="389">
        <f t="shared" si="45"/>
        <v>11</v>
      </c>
      <c r="M148" s="389">
        <f t="shared" si="45"/>
        <v>10</v>
      </c>
      <c r="N148" s="389">
        <f t="shared" si="45"/>
        <v>10</v>
      </c>
      <c r="O148" s="389">
        <f t="shared" si="45"/>
        <v>22</v>
      </c>
      <c r="P148" s="389">
        <f t="shared" si="45"/>
        <v>21</v>
      </c>
      <c r="Q148" s="389">
        <f t="shared" si="45"/>
        <v>11</v>
      </c>
      <c r="R148" s="389">
        <f t="shared" si="45"/>
        <v>11</v>
      </c>
      <c r="S148" s="389">
        <f t="shared" si="45"/>
        <v>6</v>
      </c>
      <c r="T148" s="389">
        <f t="shared" si="45"/>
        <v>6</v>
      </c>
      <c r="U148" s="389">
        <f t="shared" si="45"/>
        <v>17</v>
      </c>
      <c r="V148" s="389">
        <f t="shared" si="45"/>
        <v>13</v>
      </c>
      <c r="W148" s="389">
        <f t="shared" si="45"/>
        <v>2</v>
      </c>
      <c r="X148" s="389">
        <f t="shared" si="45"/>
        <v>2</v>
      </c>
      <c r="Y148" s="389">
        <f t="shared" si="45"/>
        <v>1</v>
      </c>
      <c r="Z148" s="389">
        <f t="shared" si="45"/>
        <v>0</v>
      </c>
      <c r="AA148" s="389">
        <f t="shared" si="45"/>
        <v>3</v>
      </c>
      <c r="AB148" s="389">
        <f t="shared" si="45"/>
        <v>2</v>
      </c>
      <c r="AC148" s="389">
        <f t="shared" si="45"/>
        <v>31</v>
      </c>
      <c r="AD148" s="389">
        <f t="shared" si="45"/>
        <v>30</v>
      </c>
      <c r="AE148" s="389">
        <f t="shared" si="45"/>
        <v>20</v>
      </c>
      <c r="AF148" s="389">
        <f t="shared" si="45"/>
        <v>19</v>
      </c>
      <c r="AG148" s="389">
        <f t="shared" si="45"/>
        <v>51</v>
      </c>
      <c r="AH148" s="1179">
        <f t="shared" si="45"/>
        <v>49</v>
      </c>
      <c r="AI148" s="1194"/>
      <c r="AM148" s="378"/>
    </row>
    <row r="149" spans="1:39" ht="13.5" customHeight="1">
      <c r="A149" s="375" t="s">
        <v>681</v>
      </c>
      <c r="B149" s="375" t="str">
        <f t="shared" si="44"/>
        <v>TOULOUSE 1</v>
      </c>
      <c r="C149" s="375" t="str">
        <f t="shared" si="41"/>
        <v xml:space="preserve"> </v>
      </c>
      <c r="D149" s="1010" t="s">
        <v>486</v>
      </c>
      <c r="E149" s="390"/>
      <c r="F149" s="390"/>
      <c r="G149" s="390"/>
      <c r="H149" s="390"/>
      <c r="I149" s="390"/>
      <c r="J149" s="390"/>
      <c r="K149" s="390"/>
      <c r="L149" s="390"/>
      <c r="M149" s="390"/>
      <c r="N149" s="390"/>
      <c r="O149" s="390"/>
      <c r="P149" s="390"/>
      <c r="Q149" s="390"/>
      <c r="R149" s="390"/>
      <c r="S149" s="390"/>
      <c r="T149" s="390"/>
      <c r="U149" s="390"/>
      <c r="V149" s="390"/>
      <c r="W149" s="390"/>
      <c r="X149" s="390"/>
      <c r="Y149" s="390"/>
      <c r="Z149" s="390"/>
      <c r="AA149" s="390"/>
      <c r="AB149" s="390"/>
      <c r="AC149" s="866">
        <f t="shared" si="36"/>
        <v>0</v>
      </c>
      <c r="AD149" s="866">
        <f t="shared" si="36"/>
        <v>0</v>
      </c>
      <c r="AE149" s="866">
        <f t="shared" si="36"/>
        <v>0</v>
      </c>
      <c r="AF149" s="866">
        <f t="shared" si="36"/>
        <v>0</v>
      </c>
      <c r="AG149" s="866">
        <f t="shared" si="37"/>
        <v>0</v>
      </c>
      <c r="AH149" s="867">
        <f t="shared" si="37"/>
        <v>0</v>
      </c>
      <c r="AI149" s="1194"/>
      <c r="AM149" s="378"/>
    </row>
    <row r="150" spans="1:39" ht="13.5" customHeight="1">
      <c r="A150" s="375" t="s">
        <v>682</v>
      </c>
      <c r="B150" s="375" t="str">
        <f t="shared" si="44"/>
        <v>TOULOUSE 2</v>
      </c>
      <c r="C150" s="375" t="str">
        <f t="shared" si="41"/>
        <v xml:space="preserve"> </v>
      </c>
      <c r="D150" s="397" t="s">
        <v>487</v>
      </c>
      <c r="E150" s="393">
        <v>1</v>
      </c>
      <c r="F150" s="393">
        <v>1</v>
      </c>
      <c r="G150" s="393">
        <v>1</v>
      </c>
      <c r="H150" s="393">
        <v>1</v>
      </c>
      <c r="I150" s="393">
        <v>2</v>
      </c>
      <c r="J150" s="393">
        <v>1</v>
      </c>
      <c r="K150" s="393">
        <v>23</v>
      </c>
      <c r="L150" s="393">
        <v>22</v>
      </c>
      <c r="M150" s="393">
        <v>10</v>
      </c>
      <c r="N150" s="393">
        <v>10</v>
      </c>
      <c r="O150" s="393">
        <v>33</v>
      </c>
      <c r="P150" s="393">
        <v>32</v>
      </c>
      <c r="Q150" s="393"/>
      <c r="R150" s="393"/>
      <c r="S150" s="393">
        <v>2</v>
      </c>
      <c r="T150" s="393">
        <v>2</v>
      </c>
      <c r="U150" s="393">
        <v>2</v>
      </c>
      <c r="V150" s="393">
        <v>2</v>
      </c>
      <c r="W150" s="393"/>
      <c r="X150" s="393"/>
      <c r="Y150" s="393"/>
      <c r="Z150" s="393"/>
      <c r="AA150" s="393"/>
      <c r="AB150" s="393">
        <v>0</v>
      </c>
      <c r="AC150" s="868">
        <f t="shared" si="36"/>
        <v>24</v>
      </c>
      <c r="AD150" s="868">
        <f t="shared" si="36"/>
        <v>23</v>
      </c>
      <c r="AE150" s="868">
        <f t="shared" si="36"/>
        <v>13</v>
      </c>
      <c r="AF150" s="868">
        <f t="shared" si="36"/>
        <v>13</v>
      </c>
      <c r="AG150" s="868">
        <f t="shared" si="37"/>
        <v>37</v>
      </c>
      <c r="AH150" s="869">
        <f t="shared" si="37"/>
        <v>36</v>
      </c>
      <c r="AI150" s="1194"/>
      <c r="AM150" s="378"/>
    </row>
    <row r="151" spans="1:39" ht="13.5" customHeight="1">
      <c r="A151" s="375" t="s">
        <v>683</v>
      </c>
      <c r="B151" s="375" t="str">
        <f t="shared" si="44"/>
        <v>TOULOUSE 3</v>
      </c>
      <c r="C151" s="375" t="str">
        <f t="shared" si="41"/>
        <v xml:space="preserve"> </v>
      </c>
      <c r="D151" s="397" t="s">
        <v>488</v>
      </c>
      <c r="E151" s="393">
        <v>1</v>
      </c>
      <c r="F151" s="393">
        <v>1</v>
      </c>
      <c r="G151" s="393"/>
      <c r="H151" s="393"/>
      <c r="I151" s="393">
        <v>1</v>
      </c>
      <c r="J151" s="393">
        <v>1</v>
      </c>
      <c r="K151" s="393">
        <v>1</v>
      </c>
      <c r="L151" s="393">
        <v>1</v>
      </c>
      <c r="M151" s="393"/>
      <c r="N151" s="393"/>
      <c r="O151" s="393">
        <v>1</v>
      </c>
      <c r="P151" s="393">
        <v>1</v>
      </c>
      <c r="Q151" s="393">
        <v>17</v>
      </c>
      <c r="R151" s="393">
        <v>17</v>
      </c>
      <c r="S151" s="393">
        <v>8</v>
      </c>
      <c r="T151" s="393">
        <v>8</v>
      </c>
      <c r="U151" s="393">
        <v>25</v>
      </c>
      <c r="V151" s="393">
        <v>25</v>
      </c>
      <c r="W151" s="393">
        <v>4</v>
      </c>
      <c r="X151" s="393">
        <v>4</v>
      </c>
      <c r="Y151" s="393"/>
      <c r="Z151" s="393"/>
      <c r="AA151" s="393">
        <v>4</v>
      </c>
      <c r="AB151" s="393">
        <v>4</v>
      </c>
      <c r="AC151" s="868">
        <f t="shared" si="36"/>
        <v>23</v>
      </c>
      <c r="AD151" s="868">
        <f t="shared" si="36"/>
        <v>23</v>
      </c>
      <c r="AE151" s="868">
        <f t="shared" si="36"/>
        <v>8</v>
      </c>
      <c r="AF151" s="868">
        <f t="shared" si="36"/>
        <v>8</v>
      </c>
      <c r="AG151" s="868">
        <f t="shared" si="37"/>
        <v>31</v>
      </c>
      <c r="AH151" s="869">
        <f t="shared" si="37"/>
        <v>31</v>
      </c>
      <c r="AI151" s="1194"/>
      <c r="AM151" s="378"/>
    </row>
    <row r="152" spans="1:39" ht="13.5" customHeight="1">
      <c r="A152" s="375" t="s">
        <v>684</v>
      </c>
      <c r="B152" s="375" t="str">
        <f t="shared" si="44"/>
        <v>TOULOUSE INP</v>
      </c>
      <c r="C152" s="375" t="str">
        <f t="shared" si="41"/>
        <v xml:space="preserve"> </v>
      </c>
      <c r="D152" s="397" t="s">
        <v>489</v>
      </c>
      <c r="E152" s="393"/>
      <c r="F152" s="393"/>
      <c r="G152" s="393"/>
      <c r="H152" s="393"/>
      <c r="I152" s="393"/>
      <c r="J152" s="393">
        <v>0</v>
      </c>
      <c r="K152" s="393"/>
      <c r="L152" s="393"/>
      <c r="M152" s="393">
        <v>1</v>
      </c>
      <c r="N152" s="393">
        <v>1</v>
      </c>
      <c r="O152" s="393">
        <v>1</v>
      </c>
      <c r="P152" s="393">
        <v>1</v>
      </c>
      <c r="Q152" s="393">
        <v>7</v>
      </c>
      <c r="R152" s="393">
        <v>7</v>
      </c>
      <c r="S152" s="393">
        <v>2</v>
      </c>
      <c r="T152" s="393">
        <v>2</v>
      </c>
      <c r="U152" s="393">
        <v>9</v>
      </c>
      <c r="V152" s="393">
        <v>9</v>
      </c>
      <c r="W152" s="393"/>
      <c r="X152" s="393"/>
      <c r="Y152" s="393"/>
      <c r="Z152" s="393"/>
      <c r="AA152" s="393"/>
      <c r="AB152" s="393">
        <v>0</v>
      </c>
      <c r="AC152" s="868">
        <f t="shared" si="36"/>
        <v>7</v>
      </c>
      <c r="AD152" s="868">
        <f t="shared" si="36"/>
        <v>7</v>
      </c>
      <c r="AE152" s="868">
        <f t="shared" si="36"/>
        <v>3</v>
      </c>
      <c r="AF152" s="868">
        <f t="shared" si="36"/>
        <v>3</v>
      </c>
      <c r="AG152" s="868">
        <f t="shared" si="37"/>
        <v>10</v>
      </c>
      <c r="AH152" s="869">
        <f t="shared" si="37"/>
        <v>10</v>
      </c>
      <c r="AI152" s="1194"/>
      <c r="AM152" s="378"/>
    </row>
    <row r="153" spans="1:39" ht="13.5" customHeight="1">
      <c r="A153" s="375" t="s">
        <v>685</v>
      </c>
      <c r="B153" s="375" t="str">
        <f t="shared" si="44"/>
        <v>ALBI CUFR</v>
      </c>
      <c r="C153" s="375" t="str">
        <f t="shared" si="41"/>
        <v xml:space="preserve"> </v>
      </c>
      <c r="D153" s="397" t="s">
        <v>490</v>
      </c>
      <c r="E153" s="393"/>
      <c r="F153" s="393"/>
      <c r="G153" s="393"/>
      <c r="H153" s="393"/>
      <c r="I153" s="393"/>
      <c r="J153" s="393">
        <v>0</v>
      </c>
      <c r="K153" s="393">
        <v>4</v>
      </c>
      <c r="L153" s="393">
        <v>4</v>
      </c>
      <c r="M153" s="393">
        <v>1</v>
      </c>
      <c r="N153" s="393">
        <v>1</v>
      </c>
      <c r="O153" s="393">
        <v>5</v>
      </c>
      <c r="P153" s="393">
        <v>5</v>
      </c>
      <c r="Q153" s="393">
        <v>1</v>
      </c>
      <c r="R153" s="393">
        <v>1</v>
      </c>
      <c r="S153" s="393">
        <v>1</v>
      </c>
      <c r="T153" s="393">
        <v>1</v>
      </c>
      <c r="U153" s="393">
        <v>2</v>
      </c>
      <c r="V153" s="393">
        <v>2</v>
      </c>
      <c r="W153" s="393"/>
      <c r="X153" s="393"/>
      <c r="Y153" s="393"/>
      <c r="Z153" s="393"/>
      <c r="AA153" s="393"/>
      <c r="AB153" s="393">
        <v>0</v>
      </c>
      <c r="AC153" s="868">
        <f t="shared" si="36"/>
        <v>5</v>
      </c>
      <c r="AD153" s="868">
        <f t="shared" si="36"/>
        <v>5</v>
      </c>
      <c r="AE153" s="868">
        <f t="shared" si="36"/>
        <v>2</v>
      </c>
      <c r="AF153" s="868">
        <f t="shared" si="36"/>
        <v>2</v>
      </c>
      <c r="AG153" s="868">
        <f t="shared" si="37"/>
        <v>7</v>
      </c>
      <c r="AH153" s="869">
        <f t="shared" si="37"/>
        <v>7</v>
      </c>
      <c r="AI153" s="1194"/>
      <c r="AM153" s="378"/>
    </row>
    <row r="154" spans="1:39" ht="13.5" customHeight="1">
      <c r="A154" s="375" t="s">
        <v>686</v>
      </c>
      <c r="B154" s="375" t="str">
        <f t="shared" si="44"/>
        <v>TOULOUSE IEP</v>
      </c>
      <c r="C154" s="375" t="str">
        <f t="shared" si="41"/>
        <v xml:space="preserve"> </v>
      </c>
      <c r="D154" s="397" t="s">
        <v>565</v>
      </c>
      <c r="E154" s="393">
        <v>2</v>
      </c>
      <c r="F154" s="393">
        <v>2</v>
      </c>
      <c r="G154" s="393"/>
      <c r="H154" s="393"/>
      <c r="I154" s="393">
        <v>2</v>
      </c>
      <c r="J154" s="393">
        <v>2</v>
      </c>
      <c r="K154" s="393"/>
      <c r="L154" s="393"/>
      <c r="M154" s="393"/>
      <c r="N154" s="393"/>
      <c r="O154" s="393"/>
      <c r="P154" s="393">
        <v>0</v>
      </c>
      <c r="Q154" s="393"/>
      <c r="R154" s="393"/>
      <c r="S154" s="393"/>
      <c r="T154" s="393"/>
      <c r="U154" s="393"/>
      <c r="V154" s="393">
        <v>0</v>
      </c>
      <c r="W154" s="393"/>
      <c r="X154" s="393"/>
      <c r="Y154" s="393"/>
      <c r="Z154" s="393"/>
      <c r="AA154" s="393"/>
      <c r="AB154" s="393">
        <v>0</v>
      </c>
      <c r="AC154" s="868">
        <f>E154+K154+Q154+W154</f>
        <v>2</v>
      </c>
      <c r="AD154" s="868">
        <f>F154+L154+R154+X154</f>
        <v>2</v>
      </c>
      <c r="AE154" s="868">
        <f>G154+M154+S154+Y154</f>
        <v>0</v>
      </c>
      <c r="AF154" s="868">
        <f>H154+N154+T154+Z154</f>
        <v>0</v>
      </c>
      <c r="AG154" s="868">
        <f>AC154+AE154</f>
        <v>2</v>
      </c>
      <c r="AH154" s="869">
        <f>AD154+AF154</f>
        <v>2</v>
      </c>
      <c r="AI154" s="1194"/>
      <c r="AM154" s="378"/>
    </row>
    <row r="155" spans="1:39" ht="13.5" customHeight="1">
      <c r="A155" s="375" t="s">
        <v>687</v>
      </c>
      <c r="B155" s="375" t="str">
        <f t="shared" si="44"/>
        <v>TOULOUSE INSA</v>
      </c>
      <c r="C155" s="375" t="str">
        <f t="shared" si="41"/>
        <v xml:space="preserve"> </v>
      </c>
      <c r="D155" s="397" t="s">
        <v>491</v>
      </c>
      <c r="E155" s="393"/>
      <c r="F155" s="393"/>
      <c r="G155" s="393"/>
      <c r="H155" s="393"/>
      <c r="I155" s="393"/>
      <c r="J155" s="393">
        <v>0</v>
      </c>
      <c r="K155" s="393"/>
      <c r="L155" s="393"/>
      <c r="M155" s="393"/>
      <c r="N155" s="393"/>
      <c r="O155" s="393"/>
      <c r="P155" s="393">
        <v>0</v>
      </c>
      <c r="Q155" s="393">
        <v>2</v>
      </c>
      <c r="R155" s="393">
        <v>2</v>
      </c>
      <c r="S155" s="393">
        <v>4</v>
      </c>
      <c r="T155" s="393">
        <v>4</v>
      </c>
      <c r="U155" s="393">
        <v>6</v>
      </c>
      <c r="V155" s="393">
        <v>6</v>
      </c>
      <c r="W155" s="393"/>
      <c r="X155" s="393"/>
      <c r="Y155" s="393"/>
      <c r="Z155" s="393"/>
      <c r="AA155" s="393"/>
      <c r="AB155" s="393">
        <v>0</v>
      </c>
      <c r="AC155" s="868">
        <f t="shared" si="36"/>
        <v>2</v>
      </c>
      <c r="AD155" s="868">
        <f t="shared" si="36"/>
        <v>2</v>
      </c>
      <c r="AE155" s="868">
        <f t="shared" si="36"/>
        <v>4</v>
      </c>
      <c r="AF155" s="868">
        <f t="shared" si="36"/>
        <v>4</v>
      </c>
      <c r="AG155" s="868">
        <f t="shared" si="37"/>
        <v>6</v>
      </c>
      <c r="AH155" s="869">
        <f t="shared" si="37"/>
        <v>6</v>
      </c>
      <c r="AI155" s="1194"/>
      <c r="AM155" s="378"/>
    </row>
    <row r="156" spans="1:39" ht="13.5" customHeight="1">
      <c r="A156" s="375" t="s">
        <v>688</v>
      </c>
      <c r="B156" s="375" t="str">
        <f t="shared" si="44"/>
        <v>TARBES ENI</v>
      </c>
      <c r="C156" s="375" t="str">
        <f t="shared" si="41"/>
        <v xml:space="preserve"> </v>
      </c>
      <c r="D156" s="401" t="s">
        <v>492</v>
      </c>
      <c r="E156" s="395"/>
      <c r="F156" s="395"/>
      <c r="G156" s="395"/>
      <c r="H156" s="395"/>
      <c r="I156" s="395"/>
      <c r="J156" s="395">
        <v>0</v>
      </c>
      <c r="K156" s="395"/>
      <c r="L156" s="395"/>
      <c r="M156" s="395"/>
      <c r="N156" s="395"/>
      <c r="O156" s="395"/>
      <c r="P156" s="395">
        <v>0</v>
      </c>
      <c r="Q156" s="395">
        <v>2</v>
      </c>
      <c r="R156" s="395">
        <v>2</v>
      </c>
      <c r="S156" s="395">
        <v>2</v>
      </c>
      <c r="T156" s="395">
        <v>2</v>
      </c>
      <c r="U156" s="395">
        <v>4</v>
      </c>
      <c r="V156" s="395">
        <v>4</v>
      </c>
      <c r="W156" s="395"/>
      <c r="X156" s="395"/>
      <c r="Y156" s="395"/>
      <c r="Z156" s="395"/>
      <c r="AA156" s="395"/>
      <c r="AB156" s="395">
        <v>0</v>
      </c>
      <c r="AC156" s="876">
        <f t="shared" si="36"/>
        <v>2</v>
      </c>
      <c r="AD156" s="876">
        <f t="shared" si="36"/>
        <v>2</v>
      </c>
      <c r="AE156" s="876">
        <f t="shared" si="36"/>
        <v>2</v>
      </c>
      <c r="AF156" s="876">
        <f t="shared" si="36"/>
        <v>2</v>
      </c>
      <c r="AG156" s="876">
        <f t="shared" si="37"/>
        <v>4</v>
      </c>
      <c r="AH156" s="877">
        <f t="shared" si="37"/>
        <v>4</v>
      </c>
      <c r="AI156" s="1194"/>
      <c r="AM156" s="378"/>
    </row>
    <row r="157" spans="1:39" ht="13.5" customHeight="1">
      <c r="B157" s="375" t="str">
        <f t="shared" si="44"/>
        <v/>
      </c>
      <c r="C157" s="375" t="str">
        <f t="shared" si="41"/>
        <v>ach</v>
      </c>
      <c r="D157" s="399" t="s">
        <v>493</v>
      </c>
      <c r="E157" s="389">
        <f>SUM(E149:E156)</f>
        <v>4</v>
      </c>
      <c r="F157" s="389">
        <f t="shared" ref="F157:AH157" si="46">SUM(F149:F156)</f>
        <v>4</v>
      </c>
      <c r="G157" s="389">
        <f t="shared" si="46"/>
        <v>1</v>
      </c>
      <c r="H157" s="389">
        <f t="shared" si="46"/>
        <v>1</v>
      </c>
      <c r="I157" s="389">
        <f t="shared" si="46"/>
        <v>5</v>
      </c>
      <c r="J157" s="389">
        <f t="shared" si="46"/>
        <v>4</v>
      </c>
      <c r="K157" s="389">
        <f t="shared" si="46"/>
        <v>28</v>
      </c>
      <c r="L157" s="389">
        <f t="shared" si="46"/>
        <v>27</v>
      </c>
      <c r="M157" s="389">
        <f t="shared" si="46"/>
        <v>12</v>
      </c>
      <c r="N157" s="389">
        <f t="shared" si="46"/>
        <v>12</v>
      </c>
      <c r="O157" s="389">
        <f t="shared" si="46"/>
        <v>40</v>
      </c>
      <c r="P157" s="389">
        <f t="shared" si="46"/>
        <v>39</v>
      </c>
      <c r="Q157" s="389">
        <f t="shared" si="46"/>
        <v>29</v>
      </c>
      <c r="R157" s="389">
        <f t="shared" si="46"/>
        <v>29</v>
      </c>
      <c r="S157" s="389">
        <f t="shared" si="46"/>
        <v>19</v>
      </c>
      <c r="T157" s="389">
        <f t="shared" si="46"/>
        <v>19</v>
      </c>
      <c r="U157" s="389">
        <f t="shared" si="46"/>
        <v>48</v>
      </c>
      <c r="V157" s="389">
        <f t="shared" si="46"/>
        <v>48</v>
      </c>
      <c r="W157" s="389">
        <f t="shared" si="46"/>
        <v>4</v>
      </c>
      <c r="X157" s="389">
        <f t="shared" si="46"/>
        <v>4</v>
      </c>
      <c r="Y157" s="389">
        <f t="shared" si="46"/>
        <v>0</v>
      </c>
      <c r="Z157" s="389">
        <f t="shared" si="46"/>
        <v>0</v>
      </c>
      <c r="AA157" s="389">
        <f t="shared" si="46"/>
        <v>4</v>
      </c>
      <c r="AB157" s="389">
        <f t="shared" si="46"/>
        <v>4</v>
      </c>
      <c r="AC157" s="389">
        <f t="shared" si="46"/>
        <v>65</v>
      </c>
      <c r="AD157" s="389">
        <f t="shared" si="46"/>
        <v>64</v>
      </c>
      <c r="AE157" s="389">
        <f t="shared" si="46"/>
        <v>32</v>
      </c>
      <c r="AF157" s="389">
        <f t="shared" si="46"/>
        <v>32</v>
      </c>
      <c r="AG157" s="389">
        <f t="shared" si="46"/>
        <v>97</v>
      </c>
      <c r="AH157" s="1179">
        <f t="shared" si="46"/>
        <v>96</v>
      </c>
      <c r="AI157" s="1194"/>
      <c r="AM157" s="378"/>
    </row>
    <row r="158" spans="1:39" ht="13.5" customHeight="1">
      <c r="A158" s="375" t="s">
        <v>689</v>
      </c>
      <c r="B158" s="375" t="str">
        <f t="shared" si="44"/>
        <v>PARIS 10</v>
      </c>
      <c r="C158" s="375" t="str">
        <f t="shared" si="41"/>
        <v xml:space="preserve"> </v>
      </c>
      <c r="D158" s="396" t="s">
        <v>494</v>
      </c>
      <c r="E158" s="390">
        <v>9</v>
      </c>
      <c r="F158" s="390">
        <v>9</v>
      </c>
      <c r="G158" s="390">
        <v>6</v>
      </c>
      <c r="H158" s="390">
        <v>4</v>
      </c>
      <c r="I158" s="390">
        <v>15</v>
      </c>
      <c r="J158" s="390">
        <v>12</v>
      </c>
      <c r="K158" s="390">
        <v>25</v>
      </c>
      <c r="L158" s="390">
        <v>25</v>
      </c>
      <c r="M158" s="390">
        <v>9</v>
      </c>
      <c r="N158" s="390">
        <v>9</v>
      </c>
      <c r="O158" s="390">
        <v>34</v>
      </c>
      <c r="P158" s="390">
        <v>34</v>
      </c>
      <c r="Q158" s="390">
        <v>3</v>
      </c>
      <c r="R158" s="390">
        <v>3</v>
      </c>
      <c r="S158" s="390">
        <v>1</v>
      </c>
      <c r="T158" s="390">
        <v>1</v>
      </c>
      <c r="U158" s="390">
        <v>4</v>
      </c>
      <c r="V158" s="390">
        <v>4</v>
      </c>
      <c r="W158" s="390"/>
      <c r="X158" s="390"/>
      <c r="Y158" s="390"/>
      <c r="Z158" s="390"/>
      <c r="AA158" s="390"/>
      <c r="AB158" s="390">
        <v>0</v>
      </c>
      <c r="AC158" s="866">
        <f t="shared" si="36"/>
        <v>37</v>
      </c>
      <c r="AD158" s="866">
        <f t="shared" si="36"/>
        <v>37</v>
      </c>
      <c r="AE158" s="866">
        <f t="shared" si="36"/>
        <v>16</v>
      </c>
      <c r="AF158" s="866">
        <f t="shared" si="36"/>
        <v>14</v>
      </c>
      <c r="AG158" s="866">
        <f t="shared" si="37"/>
        <v>53</v>
      </c>
      <c r="AH158" s="867">
        <f t="shared" si="37"/>
        <v>51</v>
      </c>
      <c r="AI158" s="1194"/>
      <c r="AM158" s="378"/>
    </row>
    <row r="159" spans="1:39" ht="12" customHeight="1">
      <c r="A159" s="375" t="s">
        <v>690</v>
      </c>
      <c r="B159" s="375" t="str">
        <f t="shared" si="44"/>
        <v>PARIS 11</v>
      </c>
      <c r="C159" s="375" t="str">
        <f t="shared" si="41"/>
        <v xml:space="preserve"> </v>
      </c>
      <c r="D159" s="397" t="s">
        <v>495</v>
      </c>
      <c r="E159" s="393">
        <v>2</v>
      </c>
      <c r="F159" s="393">
        <v>2</v>
      </c>
      <c r="G159" s="393">
        <v>2</v>
      </c>
      <c r="H159" s="393">
        <v>2</v>
      </c>
      <c r="I159" s="393">
        <v>4</v>
      </c>
      <c r="J159" s="393">
        <v>4</v>
      </c>
      <c r="K159" s="393">
        <v>1</v>
      </c>
      <c r="L159" s="393">
        <v>1</v>
      </c>
      <c r="M159" s="393"/>
      <c r="N159" s="393"/>
      <c r="O159" s="393">
        <v>1</v>
      </c>
      <c r="P159" s="393">
        <v>1</v>
      </c>
      <c r="Q159" s="393">
        <v>24</v>
      </c>
      <c r="R159" s="393">
        <v>24</v>
      </c>
      <c r="S159" s="393">
        <v>14</v>
      </c>
      <c r="T159" s="393">
        <v>14</v>
      </c>
      <c r="U159" s="393">
        <v>38</v>
      </c>
      <c r="V159" s="393">
        <v>36</v>
      </c>
      <c r="W159" s="393">
        <v>5</v>
      </c>
      <c r="X159" s="393">
        <v>5</v>
      </c>
      <c r="Y159" s="393">
        <v>1</v>
      </c>
      <c r="Z159" s="393">
        <v>1</v>
      </c>
      <c r="AA159" s="393">
        <v>6</v>
      </c>
      <c r="AB159" s="393">
        <v>6</v>
      </c>
      <c r="AC159" s="868">
        <f t="shared" si="36"/>
        <v>32</v>
      </c>
      <c r="AD159" s="868">
        <f t="shared" si="36"/>
        <v>32</v>
      </c>
      <c r="AE159" s="868">
        <f t="shared" si="36"/>
        <v>17</v>
      </c>
      <c r="AF159" s="868">
        <f t="shared" si="36"/>
        <v>17</v>
      </c>
      <c r="AG159" s="868">
        <f t="shared" si="37"/>
        <v>49</v>
      </c>
      <c r="AH159" s="869">
        <f t="shared" si="37"/>
        <v>49</v>
      </c>
      <c r="AI159" s="1194"/>
      <c r="AM159" s="378"/>
    </row>
    <row r="160" spans="1:39" ht="13.5" customHeight="1">
      <c r="A160" s="375" t="s">
        <v>691</v>
      </c>
      <c r="B160" s="375" t="str">
        <f t="shared" si="44"/>
        <v>EVRY</v>
      </c>
      <c r="C160" s="375" t="str">
        <f t="shared" si="41"/>
        <v xml:space="preserve"> </v>
      </c>
      <c r="D160" s="397" t="s">
        <v>496</v>
      </c>
      <c r="E160" s="393">
        <v>1</v>
      </c>
      <c r="F160" s="393">
        <v>1</v>
      </c>
      <c r="G160" s="393"/>
      <c r="H160" s="393"/>
      <c r="I160" s="393">
        <v>1</v>
      </c>
      <c r="J160" s="393">
        <v>1</v>
      </c>
      <c r="K160" s="393">
        <v>1</v>
      </c>
      <c r="L160" s="393">
        <v>1</v>
      </c>
      <c r="M160" s="393"/>
      <c r="N160" s="393"/>
      <c r="O160" s="393">
        <v>1</v>
      </c>
      <c r="P160" s="393">
        <v>1</v>
      </c>
      <c r="Q160" s="393"/>
      <c r="R160" s="393"/>
      <c r="S160" s="393"/>
      <c r="T160" s="393"/>
      <c r="U160" s="393"/>
      <c r="V160" s="393">
        <v>0</v>
      </c>
      <c r="W160" s="393"/>
      <c r="X160" s="393"/>
      <c r="Y160" s="393"/>
      <c r="Z160" s="393"/>
      <c r="AA160" s="393"/>
      <c r="AB160" s="393">
        <v>0</v>
      </c>
      <c r="AC160" s="868">
        <f t="shared" si="36"/>
        <v>2</v>
      </c>
      <c r="AD160" s="868">
        <f t="shared" si="36"/>
        <v>2</v>
      </c>
      <c r="AE160" s="868">
        <f t="shared" si="36"/>
        <v>0</v>
      </c>
      <c r="AF160" s="868">
        <f t="shared" si="36"/>
        <v>0</v>
      </c>
      <c r="AG160" s="868">
        <f t="shared" si="37"/>
        <v>2</v>
      </c>
      <c r="AH160" s="869">
        <f t="shared" si="37"/>
        <v>2</v>
      </c>
      <c r="AI160" s="1194"/>
      <c r="AL160" s="1749">
        <f>AH168/AG168</f>
        <v>0.94246708922476841</v>
      </c>
      <c r="AM160" s="378"/>
    </row>
    <row r="161" spans="1:243" ht="13.5" customHeight="1">
      <c r="A161" s="375" t="s">
        <v>692</v>
      </c>
      <c r="B161" s="375" t="str">
        <f t="shared" si="44"/>
        <v>CERGY-PONTOISE</v>
      </c>
      <c r="C161" s="375" t="str">
        <f t="shared" si="41"/>
        <v xml:space="preserve"> </v>
      </c>
      <c r="D161" s="397" t="s">
        <v>497</v>
      </c>
      <c r="E161" s="393">
        <v>5</v>
      </c>
      <c r="F161" s="393">
        <v>5</v>
      </c>
      <c r="G161" s="393">
        <v>2</v>
      </c>
      <c r="H161" s="393">
        <v>2</v>
      </c>
      <c r="I161" s="393">
        <v>7</v>
      </c>
      <c r="J161" s="393">
        <v>7</v>
      </c>
      <c r="K161" s="393">
        <v>4</v>
      </c>
      <c r="L161" s="393">
        <v>4</v>
      </c>
      <c r="M161" s="393">
        <v>5</v>
      </c>
      <c r="N161" s="393">
        <v>4</v>
      </c>
      <c r="O161" s="393">
        <v>9</v>
      </c>
      <c r="P161" s="393">
        <v>8</v>
      </c>
      <c r="Q161" s="393">
        <v>2</v>
      </c>
      <c r="R161" s="393">
        <v>2</v>
      </c>
      <c r="S161" s="393">
        <v>2</v>
      </c>
      <c r="T161" s="393">
        <v>2</v>
      </c>
      <c r="U161" s="393">
        <v>4</v>
      </c>
      <c r="V161" s="393">
        <v>4</v>
      </c>
      <c r="W161" s="393"/>
      <c r="X161" s="393"/>
      <c r="Y161" s="393"/>
      <c r="Z161" s="393"/>
      <c r="AA161" s="393"/>
      <c r="AB161" s="393">
        <v>0</v>
      </c>
      <c r="AC161" s="868">
        <f t="shared" si="36"/>
        <v>11</v>
      </c>
      <c r="AD161" s="868">
        <f t="shared" si="36"/>
        <v>11</v>
      </c>
      <c r="AE161" s="868">
        <f t="shared" si="36"/>
        <v>9</v>
      </c>
      <c r="AF161" s="868">
        <f t="shared" si="36"/>
        <v>8</v>
      </c>
      <c r="AG161" s="868">
        <f t="shared" si="37"/>
        <v>20</v>
      </c>
      <c r="AH161" s="869">
        <f t="shared" si="37"/>
        <v>19</v>
      </c>
      <c r="AI161" s="1194"/>
      <c r="AM161" s="378"/>
    </row>
    <row r="162" spans="1:243" ht="13.5" customHeight="1">
      <c r="A162" s="375" t="s">
        <v>693</v>
      </c>
      <c r="B162" s="375" t="str">
        <f t="shared" si="44"/>
        <v>VERSAILLES ST-QUENT.</v>
      </c>
      <c r="C162" s="375" t="str">
        <f t="shared" si="41"/>
        <v xml:space="preserve"> </v>
      </c>
      <c r="D162" s="397" t="s">
        <v>498</v>
      </c>
      <c r="E162" s="393">
        <v>1</v>
      </c>
      <c r="F162" s="393">
        <v>1</v>
      </c>
      <c r="G162" s="393"/>
      <c r="H162" s="393"/>
      <c r="I162" s="393">
        <v>1</v>
      </c>
      <c r="J162" s="393">
        <v>1</v>
      </c>
      <c r="K162" s="393"/>
      <c r="L162" s="393"/>
      <c r="M162" s="393"/>
      <c r="N162" s="393"/>
      <c r="O162" s="393"/>
      <c r="P162" s="393">
        <v>0</v>
      </c>
      <c r="Q162" s="393"/>
      <c r="R162" s="393"/>
      <c r="S162" s="393"/>
      <c r="T162" s="393"/>
      <c r="U162" s="393"/>
      <c r="V162" s="393">
        <v>0</v>
      </c>
      <c r="W162" s="393"/>
      <c r="X162" s="393"/>
      <c r="Y162" s="393"/>
      <c r="Z162" s="393"/>
      <c r="AA162" s="393"/>
      <c r="AB162" s="393">
        <v>0</v>
      </c>
      <c r="AC162" s="868">
        <f t="shared" si="36"/>
        <v>1</v>
      </c>
      <c r="AD162" s="868">
        <f t="shared" si="36"/>
        <v>1</v>
      </c>
      <c r="AE162" s="868">
        <f t="shared" si="36"/>
        <v>0</v>
      </c>
      <c r="AF162" s="868">
        <f t="shared" si="36"/>
        <v>0</v>
      </c>
      <c r="AG162" s="868">
        <f t="shared" si="37"/>
        <v>1</v>
      </c>
      <c r="AH162" s="869">
        <f t="shared" si="37"/>
        <v>1</v>
      </c>
      <c r="AI162" s="1194"/>
      <c r="AM162" s="378"/>
    </row>
    <row r="163" spans="1:243" ht="13.5" customHeight="1">
      <c r="A163" s="375" t="s">
        <v>694</v>
      </c>
      <c r="B163" s="375" t="str">
        <f t="shared" si="44"/>
        <v>CERGY ENSEA</v>
      </c>
      <c r="C163" s="375" t="str">
        <f t="shared" si="41"/>
        <v xml:space="preserve"> </v>
      </c>
      <c r="D163" s="397" t="s">
        <v>566</v>
      </c>
      <c r="E163" s="393"/>
      <c r="F163" s="393"/>
      <c r="G163" s="393"/>
      <c r="H163" s="393"/>
      <c r="I163" s="393"/>
      <c r="J163" s="393">
        <v>0</v>
      </c>
      <c r="K163" s="393"/>
      <c r="L163" s="393"/>
      <c r="M163" s="393"/>
      <c r="N163" s="393"/>
      <c r="O163" s="393"/>
      <c r="P163" s="393">
        <v>0</v>
      </c>
      <c r="Q163" s="393"/>
      <c r="R163" s="393"/>
      <c r="S163" s="393">
        <v>2</v>
      </c>
      <c r="T163" s="393">
        <v>2</v>
      </c>
      <c r="U163" s="393">
        <v>2</v>
      </c>
      <c r="V163" s="393">
        <v>2</v>
      </c>
      <c r="W163" s="393"/>
      <c r="X163" s="393"/>
      <c r="Y163" s="393"/>
      <c r="Z163" s="393"/>
      <c r="AA163" s="393"/>
      <c r="AB163" s="393">
        <v>0</v>
      </c>
      <c r="AC163" s="868">
        <f>E163+K163+Q163+W163</f>
        <v>0</v>
      </c>
      <c r="AD163" s="868">
        <f>F163+L163+R163+X163</f>
        <v>0</v>
      </c>
      <c r="AE163" s="868">
        <f>G163+M163+S163+Y163</f>
        <v>2</v>
      </c>
      <c r="AF163" s="868">
        <f>H163+N163+T163+Z163</f>
        <v>2</v>
      </c>
      <c r="AG163" s="868">
        <f>AC163+AE163</f>
        <v>2</v>
      </c>
      <c r="AH163" s="869">
        <f>AD163+AF163</f>
        <v>2</v>
      </c>
      <c r="AI163" s="1194"/>
      <c r="AM163" s="378"/>
    </row>
    <row r="164" spans="1:243" ht="13.5" customHeight="1">
      <c r="A164" s="375" t="s">
        <v>695</v>
      </c>
      <c r="B164" s="375" t="str">
        <f t="shared" si="44"/>
        <v>PARIS ECOLE CENTRALE</v>
      </c>
      <c r="C164" s="375" t="str">
        <f t="shared" si="41"/>
        <v>ach</v>
      </c>
      <c r="D164" s="397" t="s">
        <v>499</v>
      </c>
      <c r="E164" s="393"/>
      <c r="F164" s="393"/>
      <c r="G164" s="393"/>
      <c r="H164" s="393"/>
      <c r="I164" s="393"/>
      <c r="J164" s="393">
        <v>0</v>
      </c>
      <c r="K164" s="393"/>
      <c r="L164" s="393"/>
      <c r="M164" s="393"/>
      <c r="N164" s="393"/>
      <c r="O164" s="393"/>
      <c r="P164" s="393">
        <v>0</v>
      </c>
      <c r="Q164" s="393">
        <v>1</v>
      </c>
      <c r="R164" s="393">
        <v>1</v>
      </c>
      <c r="S164" s="393">
        <v>1</v>
      </c>
      <c r="T164" s="393">
        <v>1</v>
      </c>
      <c r="U164" s="393">
        <v>2</v>
      </c>
      <c r="V164" s="393">
        <v>2</v>
      </c>
      <c r="W164" s="393"/>
      <c r="X164" s="393"/>
      <c r="Y164" s="393"/>
      <c r="Z164" s="393"/>
      <c r="AA164" s="393"/>
      <c r="AB164" s="393">
        <v>0</v>
      </c>
      <c r="AC164" s="868">
        <f t="shared" si="36"/>
        <v>1</v>
      </c>
      <c r="AD164" s="868">
        <f t="shared" si="36"/>
        <v>1</v>
      </c>
      <c r="AE164" s="868">
        <f t="shared" si="36"/>
        <v>1</v>
      </c>
      <c r="AF164" s="868">
        <f t="shared" si="36"/>
        <v>1</v>
      </c>
      <c r="AG164" s="868">
        <f t="shared" si="37"/>
        <v>2</v>
      </c>
      <c r="AH164" s="869">
        <f t="shared" si="37"/>
        <v>2</v>
      </c>
      <c r="AI164" s="1194"/>
      <c r="AM164" s="378"/>
    </row>
    <row r="165" spans="1:243" ht="13.5" customHeight="1">
      <c r="B165" s="1177"/>
      <c r="C165" s="375" t="str">
        <f t="shared" si="41"/>
        <v>ach</v>
      </c>
      <c r="D165" s="1011" t="s">
        <v>500</v>
      </c>
      <c r="E165" s="393"/>
      <c r="F165" s="393"/>
      <c r="G165" s="393"/>
      <c r="H165" s="393"/>
      <c r="I165" s="393"/>
      <c r="J165" s="393"/>
      <c r="K165" s="393"/>
      <c r="L165" s="393"/>
      <c r="M165" s="393"/>
      <c r="N165" s="393"/>
      <c r="O165" s="393"/>
      <c r="P165" s="393"/>
      <c r="Q165" s="393"/>
      <c r="R165" s="393"/>
      <c r="S165" s="393"/>
      <c r="T165" s="393"/>
      <c r="U165" s="393"/>
      <c r="V165" s="393"/>
      <c r="W165" s="393"/>
      <c r="X165" s="393"/>
      <c r="Y165" s="393"/>
      <c r="Z165" s="393"/>
      <c r="AA165" s="393"/>
      <c r="AB165" s="393"/>
      <c r="AC165" s="868">
        <f t="shared" si="36"/>
        <v>0</v>
      </c>
      <c r="AD165" s="868">
        <f t="shared" si="36"/>
        <v>0</v>
      </c>
      <c r="AE165" s="868">
        <f t="shared" si="36"/>
        <v>0</v>
      </c>
      <c r="AF165" s="868">
        <f t="shared" si="36"/>
        <v>0</v>
      </c>
      <c r="AG165" s="868">
        <f t="shared" si="37"/>
        <v>0</v>
      </c>
      <c r="AH165" s="869">
        <f t="shared" si="37"/>
        <v>0</v>
      </c>
      <c r="AI165" s="1194"/>
      <c r="AM165" s="378"/>
    </row>
    <row r="166" spans="1:243" ht="13.5" customHeight="1" thickBot="1">
      <c r="B166" s="375" t="str">
        <f t="shared" si="44"/>
        <v/>
      </c>
      <c r="C166" s="375" t="str">
        <f t="shared" si="41"/>
        <v>ach</v>
      </c>
      <c r="D166" s="404" t="s">
        <v>501</v>
      </c>
      <c r="E166" s="405">
        <f t="shared" ref="E166:AH166" si="47">SUM(E158:E165)</f>
        <v>18</v>
      </c>
      <c r="F166" s="405">
        <f t="shared" si="47"/>
        <v>18</v>
      </c>
      <c r="G166" s="405">
        <f t="shared" si="47"/>
        <v>10</v>
      </c>
      <c r="H166" s="405">
        <f t="shared" si="47"/>
        <v>8</v>
      </c>
      <c r="I166" s="405">
        <f t="shared" si="47"/>
        <v>28</v>
      </c>
      <c r="J166" s="405">
        <f t="shared" si="47"/>
        <v>25</v>
      </c>
      <c r="K166" s="405">
        <f t="shared" si="47"/>
        <v>31</v>
      </c>
      <c r="L166" s="405">
        <f t="shared" si="47"/>
        <v>31</v>
      </c>
      <c r="M166" s="405">
        <f t="shared" si="47"/>
        <v>14</v>
      </c>
      <c r="N166" s="405">
        <f t="shared" si="47"/>
        <v>13</v>
      </c>
      <c r="O166" s="405">
        <f t="shared" si="47"/>
        <v>45</v>
      </c>
      <c r="P166" s="405">
        <f t="shared" si="47"/>
        <v>44</v>
      </c>
      <c r="Q166" s="405">
        <f t="shared" si="47"/>
        <v>30</v>
      </c>
      <c r="R166" s="405">
        <f t="shared" si="47"/>
        <v>30</v>
      </c>
      <c r="S166" s="405">
        <f t="shared" si="47"/>
        <v>20</v>
      </c>
      <c r="T166" s="405">
        <f t="shared" si="47"/>
        <v>20</v>
      </c>
      <c r="U166" s="405">
        <f t="shared" si="47"/>
        <v>50</v>
      </c>
      <c r="V166" s="405">
        <f t="shared" si="47"/>
        <v>48</v>
      </c>
      <c r="W166" s="405">
        <f t="shared" si="47"/>
        <v>5</v>
      </c>
      <c r="X166" s="405">
        <f t="shared" si="47"/>
        <v>5</v>
      </c>
      <c r="Y166" s="405">
        <f t="shared" si="47"/>
        <v>1</v>
      </c>
      <c r="Z166" s="405">
        <f t="shared" si="47"/>
        <v>1</v>
      </c>
      <c r="AA166" s="405">
        <f t="shared" si="47"/>
        <v>6</v>
      </c>
      <c r="AB166" s="405">
        <f t="shared" si="47"/>
        <v>6</v>
      </c>
      <c r="AC166" s="405">
        <f t="shared" si="47"/>
        <v>84</v>
      </c>
      <c r="AD166" s="405">
        <f t="shared" si="47"/>
        <v>84</v>
      </c>
      <c r="AE166" s="405">
        <f t="shared" si="47"/>
        <v>45</v>
      </c>
      <c r="AF166" s="405">
        <f t="shared" si="47"/>
        <v>42</v>
      </c>
      <c r="AG166" s="405">
        <f t="shared" si="47"/>
        <v>129</v>
      </c>
      <c r="AH166" s="1180">
        <f t="shared" si="47"/>
        <v>126</v>
      </c>
      <c r="AI166" s="1194"/>
    </row>
    <row r="167" spans="1:243" ht="13.5" customHeight="1" thickBot="1">
      <c r="B167" s="375" t="str">
        <f t="shared" si="44"/>
        <v/>
      </c>
      <c r="C167" s="375" t="str">
        <f>IF(B167=D167," ","ach")</f>
        <v xml:space="preserve"> </v>
      </c>
      <c r="D167" s="388"/>
      <c r="E167" s="383"/>
      <c r="F167" s="383"/>
      <c r="G167" s="383"/>
      <c r="H167" s="383"/>
      <c r="I167" s="383">
        <f>E167+G167</f>
        <v>0</v>
      </c>
      <c r="J167" s="383">
        <f>F167+H167</f>
        <v>0</v>
      </c>
      <c r="K167" s="383"/>
      <c r="L167" s="383"/>
      <c r="M167" s="383"/>
      <c r="N167" s="383"/>
      <c r="O167" s="383">
        <f>K167+M167</f>
        <v>0</v>
      </c>
      <c r="P167" s="383">
        <f>L167+N167</f>
        <v>0</v>
      </c>
      <c r="Q167" s="383"/>
      <c r="R167" s="383"/>
      <c r="S167" s="383"/>
      <c r="T167" s="383"/>
      <c r="U167" s="383">
        <f>Q167+S167</f>
        <v>0</v>
      </c>
      <c r="V167" s="383">
        <f>R167+T167</f>
        <v>0</v>
      </c>
      <c r="W167" s="383"/>
      <c r="X167" s="383"/>
      <c r="Y167" s="383"/>
      <c r="Z167" s="383"/>
      <c r="AA167" s="383">
        <f>W167+Y167</f>
        <v>0</v>
      </c>
      <c r="AB167" s="383">
        <f>X167+Z167</f>
        <v>0</v>
      </c>
      <c r="AC167" s="383">
        <f t="shared" si="36"/>
        <v>0</v>
      </c>
      <c r="AD167" s="383">
        <f t="shared" si="36"/>
        <v>0</v>
      </c>
      <c r="AE167" s="383">
        <f t="shared" si="36"/>
        <v>0</v>
      </c>
      <c r="AF167" s="383">
        <f t="shared" si="36"/>
        <v>0</v>
      </c>
      <c r="AG167" s="383">
        <f t="shared" si="37"/>
        <v>0</v>
      </c>
      <c r="AH167" s="383">
        <f t="shared" si="37"/>
        <v>0</v>
      </c>
      <c r="AI167" s="1194"/>
    </row>
    <row r="168" spans="1:243" ht="13.5" customHeight="1" thickBot="1">
      <c r="B168" s="375" t="str">
        <f t="shared" si="44"/>
        <v/>
      </c>
      <c r="C168" s="375" t="str">
        <f>IF(B168=D168," ","ach")</f>
        <v>ach</v>
      </c>
      <c r="D168" s="406" t="s">
        <v>113</v>
      </c>
      <c r="E168" s="407">
        <f t="shared" ref="E168:AH168" si="48">SUM(E166,E157,E148,E144,E140,E131,E128,E124,E106,E103,E98,E95,E90,E87,E80,E70,E67,E57,E55,E48,E45,E38,E36,E31,E29,E23,E19,E17,E14)</f>
        <v>273</v>
      </c>
      <c r="F168" s="407">
        <f t="shared" si="48"/>
        <v>267</v>
      </c>
      <c r="G168" s="407">
        <f t="shared" si="48"/>
        <v>135</v>
      </c>
      <c r="H168" s="407">
        <f t="shared" si="48"/>
        <v>106</v>
      </c>
      <c r="I168" s="407">
        <f t="shared" si="48"/>
        <v>416</v>
      </c>
      <c r="J168" s="407">
        <f t="shared" si="48"/>
        <v>361</v>
      </c>
      <c r="K168" s="407">
        <f t="shared" si="48"/>
        <v>517</v>
      </c>
      <c r="L168" s="407">
        <f t="shared" si="48"/>
        <v>497</v>
      </c>
      <c r="M168" s="407">
        <f t="shared" si="48"/>
        <v>316</v>
      </c>
      <c r="N168" s="407">
        <f t="shared" si="48"/>
        <v>278</v>
      </c>
      <c r="O168" s="407">
        <f t="shared" si="48"/>
        <v>833</v>
      </c>
      <c r="P168" s="407">
        <f t="shared" si="48"/>
        <v>772</v>
      </c>
      <c r="Q168" s="407">
        <f t="shared" si="48"/>
        <v>452</v>
      </c>
      <c r="R168" s="407">
        <f t="shared" si="48"/>
        <v>440</v>
      </c>
      <c r="S168" s="407">
        <f t="shared" si="48"/>
        <v>288</v>
      </c>
      <c r="T168" s="407">
        <f t="shared" si="48"/>
        <v>279</v>
      </c>
      <c r="U168" s="407">
        <f t="shared" si="48"/>
        <v>740</v>
      </c>
      <c r="V168" s="407">
        <f t="shared" si="48"/>
        <v>698</v>
      </c>
      <c r="W168" s="407">
        <f t="shared" si="48"/>
        <v>42</v>
      </c>
      <c r="X168" s="407">
        <f t="shared" si="48"/>
        <v>40</v>
      </c>
      <c r="Y168" s="407">
        <f t="shared" si="48"/>
        <v>21</v>
      </c>
      <c r="Z168" s="407">
        <f t="shared" si="48"/>
        <v>19</v>
      </c>
      <c r="AA168" s="407">
        <f t="shared" si="48"/>
        <v>63</v>
      </c>
      <c r="AB168" s="407">
        <f t="shared" si="48"/>
        <v>59</v>
      </c>
      <c r="AC168" s="407">
        <f t="shared" si="48"/>
        <v>1291</v>
      </c>
      <c r="AD168" s="407">
        <f t="shared" si="48"/>
        <v>1251</v>
      </c>
      <c r="AE168" s="407">
        <f t="shared" si="48"/>
        <v>760</v>
      </c>
      <c r="AF168" s="407">
        <f t="shared" si="48"/>
        <v>682</v>
      </c>
      <c r="AG168" s="407">
        <f t="shared" si="48"/>
        <v>2051</v>
      </c>
      <c r="AH168" s="407">
        <f t="shared" si="48"/>
        <v>1933</v>
      </c>
      <c r="AI168" s="1194"/>
    </row>
    <row r="169" spans="1:243" ht="13.5" customHeight="1">
      <c r="B169" s="375" t="str">
        <f t="shared" si="44"/>
        <v/>
      </c>
      <c r="C169" s="375" t="str">
        <f>IF(B169=D169," ","ach")</f>
        <v>ach</v>
      </c>
      <c r="D169" s="1538" t="s">
        <v>982</v>
      </c>
      <c r="AI169" s="378"/>
    </row>
    <row r="170" spans="1:243" ht="13.5" customHeight="1">
      <c r="B170" s="375" t="str">
        <f t="shared" si="44"/>
        <v/>
      </c>
      <c r="AI170" s="378"/>
    </row>
    <row r="171" spans="1:243" ht="13.5" customHeight="1">
      <c r="B171" s="375" t="str">
        <f t="shared" si="44"/>
        <v/>
      </c>
      <c r="D171" s="1012" t="s">
        <v>726</v>
      </c>
      <c r="E171" s="1013"/>
      <c r="F171" s="1013"/>
      <c r="G171" s="1013"/>
      <c r="H171" s="1013"/>
      <c r="I171" s="1013"/>
      <c r="J171" s="1013"/>
      <c r="K171" s="1013"/>
      <c r="L171" s="1013"/>
      <c r="M171" s="1013"/>
      <c r="N171" s="1014"/>
      <c r="O171" s="1014"/>
      <c r="P171" s="1014"/>
      <c r="Q171" s="380"/>
      <c r="R171" s="380"/>
      <c r="S171" s="380"/>
      <c r="T171" s="380"/>
      <c r="U171" s="380"/>
      <c r="V171" s="380"/>
      <c r="W171" s="380"/>
      <c r="X171" s="380"/>
      <c r="Y171" s="380"/>
      <c r="Z171" s="380"/>
      <c r="AA171" s="380"/>
      <c r="AB171" s="380"/>
      <c r="AC171" s="380"/>
      <c r="AD171" s="380"/>
      <c r="AE171" s="380"/>
      <c r="AF171" s="380"/>
      <c r="AG171" s="380"/>
      <c r="AH171" s="380"/>
      <c r="AI171" s="378"/>
      <c r="AT171" s="380"/>
      <c r="AU171" s="380"/>
      <c r="AV171" s="380"/>
      <c r="AW171" s="380"/>
      <c r="AX171" s="380"/>
      <c r="AY171" s="380"/>
      <c r="AZ171" s="380"/>
      <c r="BA171" s="380"/>
      <c r="BB171" s="380"/>
      <c r="BC171" s="380"/>
      <c r="BD171" s="380"/>
      <c r="BE171" s="380"/>
      <c r="BF171" s="380"/>
      <c r="BG171" s="380"/>
      <c r="BH171" s="380"/>
      <c r="BI171" s="380"/>
      <c r="BJ171" s="380"/>
      <c r="BK171" s="380"/>
      <c r="BL171" s="380"/>
      <c r="BM171" s="380"/>
      <c r="BN171" s="380"/>
      <c r="BO171" s="380"/>
      <c r="BP171" s="380"/>
      <c r="BQ171" s="380"/>
      <c r="BR171" s="380"/>
      <c r="BS171" s="380"/>
      <c r="BT171" s="380"/>
      <c r="BU171" s="380"/>
      <c r="BV171" s="380"/>
      <c r="BW171" s="380"/>
      <c r="BX171" s="380"/>
      <c r="BY171" s="380"/>
      <c r="BZ171" s="380"/>
      <c r="CA171" s="380"/>
      <c r="CB171" s="380"/>
      <c r="CC171" s="380"/>
      <c r="CD171" s="380"/>
      <c r="CE171" s="380"/>
      <c r="CF171" s="380"/>
      <c r="CG171" s="380"/>
      <c r="CH171" s="380"/>
      <c r="CI171" s="380"/>
      <c r="CJ171" s="380"/>
      <c r="CK171" s="380"/>
      <c r="CL171" s="380"/>
      <c r="CM171" s="380"/>
      <c r="CN171" s="380"/>
      <c r="CO171" s="380"/>
      <c r="CP171" s="380"/>
      <c r="CQ171" s="380"/>
      <c r="CR171" s="380"/>
      <c r="CS171" s="380"/>
      <c r="CT171" s="380"/>
      <c r="CU171" s="380"/>
      <c r="CV171" s="380"/>
      <c r="CW171" s="380"/>
      <c r="CX171" s="380"/>
      <c r="CY171" s="380"/>
      <c r="CZ171" s="380"/>
      <c r="DA171" s="380"/>
      <c r="DB171" s="380"/>
      <c r="DC171" s="380"/>
      <c r="DD171" s="380"/>
      <c r="DE171" s="380"/>
      <c r="DF171" s="380"/>
      <c r="DG171" s="380"/>
      <c r="DH171" s="380"/>
      <c r="DI171" s="380"/>
      <c r="DJ171" s="380"/>
      <c r="DK171" s="380"/>
      <c r="DL171" s="380"/>
      <c r="DM171" s="380"/>
      <c r="DN171" s="380"/>
      <c r="DO171" s="380"/>
      <c r="DP171" s="380"/>
      <c r="DQ171" s="380"/>
      <c r="DR171" s="380"/>
      <c r="DS171" s="380"/>
      <c r="DT171" s="380"/>
      <c r="DU171" s="380"/>
      <c r="DV171" s="380"/>
      <c r="DW171" s="380"/>
      <c r="DX171" s="380"/>
      <c r="DY171" s="380"/>
      <c r="DZ171" s="380"/>
      <c r="EA171" s="380"/>
      <c r="EB171" s="380"/>
      <c r="EC171" s="380"/>
      <c r="ED171" s="380"/>
      <c r="EE171" s="380"/>
      <c r="EF171" s="380"/>
      <c r="EG171" s="380"/>
      <c r="EH171" s="380"/>
      <c r="EI171" s="380"/>
      <c r="EJ171" s="380"/>
      <c r="EK171" s="380"/>
      <c r="EL171" s="380"/>
      <c r="EM171" s="380"/>
      <c r="EN171" s="380"/>
      <c r="EO171" s="380"/>
      <c r="EP171" s="380"/>
      <c r="EQ171" s="380"/>
      <c r="ER171" s="380"/>
      <c r="ES171" s="380"/>
      <c r="ET171" s="380"/>
      <c r="EU171" s="380"/>
      <c r="EV171" s="380"/>
      <c r="EW171" s="380"/>
      <c r="EX171" s="380"/>
      <c r="EY171" s="380"/>
      <c r="EZ171" s="380"/>
      <c r="FA171" s="380"/>
      <c r="FB171" s="380"/>
      <c r="FC171" s="380"/>
      <c r="FD171" s="380"/>
      <c r="FE171" s="380"/>
      <c r="FF171" s="380"/>
      <c r="FG171" s="380"/>
      <c r="FH171" s="380"/>
      <c r="FI171" s="380"/>
      <c r="FJ171" s="380"/>
      <c r="FK171" s="380"/>
      <c r="FL171" s="380"/>
      <c r="FM171" s="380"/>
      <c r="FN171" s="380"/>
      <c r="FO171" s="380"/>
      <c r="FP171" s="380"/>
      <c r="FQ171" s="380"/>
      <c r="FR171" s="380"/>
      <c r="FS171" s="380"/>
      <c r="FT171" s="380"/>
      <c r="FU171" s="380"/>
      <c r="FV171" s="380"/>
      <c r="FW171" s="380"/>
      <c r="FX171" s="380"/>
      <c r="FY171" s="380"/>
      <c r="FZ171" s="380"/>
      <c r="GA171" s="380"/>
      <c r="GB171" s="380"/>
      <c r="GC171" s="380"/>
      <c r="GD171" s="380"/>
      <c r="GE171" s="380"/>
      <c r="GF171" s="380"/>
      <c r="GG171" s="380"/>
      <c r="GH171" s="380"/>
      <c r="GI171" s="380"/>
      <c r="GJ171" s="380"/>
      <c r="GK171" s="380"/>
      <c r="GL171" s="380"/>
      <c r="GM171" s="380"/>
      <c r="GN171" s="380"/>
      <c r="GO171" s="380"/>
      <c r="GP171" s="380"/>
      <c r="GQ171" s="380"/>
      <c r="GR171" s="380"/>
      <c r="GS171" s="380"/>
      <c r="GT171" s="380"/>
      <c r="GU171" s="380"/>
      <c r="GV171" s="380"/>
      <c r="GW171" s="380"/>
      <c r="GX171" s="380"/>
      <c r="GY171" s="380"/>
      <c r="GZ171" s="380"/>
      <c r="HA171" s="380"/>
      <c r="HB171" s="380"/>
      <c r="HC171" s="380"/>
      <c r="HD171" s="380"/>
      <c r="HE171" s="380"/>
      <c r="HF171" s="380"/>
      <c r="HG171" s="380"/>
      <c r="HH171" s="380"/>
      <c r="HI171" s="380"/>
      <c r="HJ171" s="380"/>
      <c r="HK171" s="380"/>
      <c r="HL171" s="380"/>
      <c r="HM171" s="380"/>
      <c r="HN171" s="380"/>
      <c r="HO171" s="380"/>
      <c r="HP171" s="380"/>
      <c r="HQ171" s="380"/>
      <c r="HR171" s="380"/>
      <c r="HS171" s="380"/>
      <c r="HT171" s="380"/>
      <c r="HU171" s="380"/>
      <c r="HV171" s="380"/>
      <c r="HW171" s="380"/>
      <c r="HX171" s="380"/>
      <c r="HY171" s="380"/>
      <c r="HZ171" s="380"/>
      <c r="IA171" s="380"/>
      <c r="IB171" s="380"/>
      <c r="IC171" s="380"/>
      <c r="ID171" s="380"/>
      <c r="IE171" s="380"/>
      <c r="IF171" s="380"/>
      <c r="IG171" s="380"/>
      <c r="IH171" s="380"/>
      <c r="II171" s="380"/>
    </row>
    <row r="172" spans="1:243" ht="13.5" customHeight="1">
      <c r="B172" s="375" t="str">
        <f t="shared" si="44"/>
        <v/>
      </c>
      <c r="AI172" s="378"/>
      <c r="AN172" s="380"/>
      <c r="AO172" s="380"/>
      <c r="AP172" s="380"/>
      <c r="AQ172" s="380"/>
      <c r="AR172" s="380"/>
      <c r="AS172" s="380"/>
    </row>
    <row r="173" spans="1:243" ht="13.5" customHeight="1">
      <c r="B173" s="375" t="str">
        <f t="shared" si="44"/>
        <v/>
      </c>
      <c r="AI173" s="378"/>
    </row>
    <row r="174" spans="1:243" ht="13.5" customHeight="1">
      <c r="B174" s="375" t="str">
        <f t="shared" si="44"/>
        <v/>
      </c>
      <c r="AI174" s="378"/>
    </row>
    <row r="175" spans="1:243" ht="13.5" customHeight="1">
      <c r="B175" s="375" t="str">
        <f t="shared" si="44"/>
        <v/>
      </c>
      <c r="E175" s="1176"/>
      <c r="AI175" s="378"/>
    </row>
    <row r="176" spans="1:243" ht="13.5" customHeight="1">
      <c r="B176" s="375" t="str">
        <f t="shared" si="44"/>
        <v/>
      </c>
      <c r="AI176" s="380"/>
      <c r="AJ176" s="380"/>
      <c r="AK176" s="380"/>
      <c r="AL176" s="380"/>
    </row>
    <row r="177" spans="1:45" ht="13.5" customHeight="1">
      <c r="B177" s="375" t="str">
        <f t="shared" si="44"/>
        <v/>
      </c>
      <c r="AI177" s="378"/>
    </row>
    <row r="178" spans="1:45" ht="13.5" customHeight="1">
      <c r="B178" s="375" t="str">
        <f t="shared" si="44"/>
        <v/>
      </c>
    </row>
    <row r="179" spans="1:45" ht="13.5" customHeight="1">
      <c r="B179" s="375" t="str">
        <f t="shared" si="44"/>
        <v/>
      </c>
    </row>
    <row r="180" spans="1:45" ht="13.5" customHeight="1">
      <c r="B180" s="375" t="str">
        <f t="shared" si="44"/>
        <v/>
      </c>
      <c r="Q180" s="376"/>
      <c r="R180" s="376"/>
    </row>
    <row r="181" spans="1:45" ht="13.5" customHeight="1">
      <c r="B181" s="375" t="str">
        <f t="shared" si="44"/>
        <v/>
      </c>
    </row>
    <row r="183" spans="1:45" ht="13.5" customHeight="1">
      <c r="AH183" s="379"/>
    </row>
    <row r="184" spans="1:45" s="379" customFormat="1" ht="13.5" customHeight="1">
      <c r="A184" s="375"/>
      <c r="B184" s="375"/>
      <c r="C184" s="375"/>
      <c r="D184" s="375"/>
      <c r="E184" s="375"/>
      <c r="F184" s="375"/>
      <c r="G184" s="375"/>
      <c r="H184" s="375"/>
      <c r="I184" s="376"/>
      <c r="J184" s="376"/>
      <c r="K184" s="376"/>
      <c r="L184" s="376"/>
      <c r="M184" s="376"/>
      <c r="N184" s="376"/>
      <c r="O184" s="376"/>
      <c r="P184" s="376"/>
      <c r="Q184" s="377"/>
      <c r="R184" s="377"/>
      <c r="S184" s="376"/>
      <c r="T184" s="376"/>
      <c r="U184" s="376"/>
      <c r="V184" s="376"/>
      <c r="W184" s="376"/>
      <c r="X184" s="376"/>
      <c r="Y184" s="376"/>
      <c r="Z184" s="376"/>
      <c r="AA184" s="375"/>
      <c r="AB184" s="375"/>
      <c r="AC184" s="375"/>
      <c r="AD184" s="375"/>
      <c r="AE184" s="375"/>
      <c r="AF184" s="375"/>
      <c r="AG184" s="375"/>
      <c r="AH184" s="375"/>
      <c r="AI184" s="375"/>
      <c r="AJ184" s="375"/>
      <c r="AK184" s="375"/>
      <c r="AL184" s="375"/>
      <c r="AM184" s="375"/>
      <c r="AN184" s="375"/>
      <c r="AO184" s="375"/>
      <c r="AP184" s="375"/>
      <c r="AQ184" s="375"/>
      <c r="AR184" s="375"/>
      <c r="AS184" s="375"/>
    </row>
    <row r="185" spans="1:45" ht="13.5" customHeight="1">
      <c r="AN185" s="379"/>
      <c r="AO185" s="379"/>
      <c r="AP185" s="379"/>
      <c r="AQ185" s="379"/>
      <c r="AR185" s="379"/>
      <c r="AS185" s="379"/>
    </row>
    <row r="188" spans="1:45" ht="13.5" customHeight="1">
      <c r="AJ188" s="379"/>
      <c r="AK188" s="379"/>
      <c r="AL188" s="379"/>
    </row>
    <row r="200" spans="1:3" ht="13.5" customHeight="1">
      <c r="A200" s="379"/>
      <c r="B200" s="379"/>
      <c r="C200" s="379"/>
    </row>
    <row r="223" spans="35:35" ht="13.5" customHeight="1">
      <c r="AI223" s="379"/>
    </row>
    <row r="225" spans="39:39" ht="13.5" customHeight="1">
      <c r="AM225" s="380"/>
    </row>
    <row r="238" spans="39:39" ht="13.5" customHeight="1">
      <c r="AM238" s="379"/>
    </row>
  </sheetData>
  <mergeCells count="17">
    <mergeCell ref="W7:AB7"/>
    <mergeCell ref="AC7:AH7"/>
    <mergeCell ref="AC8:AD8"/>
    <mergeCell ref="AE8:AF8"/>
    <mergeCell ref="AG8:AH8"/>
    <mergeCell ref="D3:AH3"/>
    <mergeCell ref="Q8:R8"/>
    <mergeCell ref="S8:T8"/>
    <mergeCell ref="U8:V8"/>
    <mergeCell ref="W8:X8"/>
    <mergeCell ref="Y8:Z8"/>
    <mergeCell ref="AA8:AB8"/>
    <mergeCell ref="O8:P8"/>
    <mergeCell ref="D4:AH4"/>
    <mergeCell ref="E7:J7"/>
    <mergeCell ref="K7:P7"/>
    <mergeCell ref="Q7:V7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65" orientation="landscape" r:id="rId1"/>
  <headerFooter alignWithMargins="0">
    <oddHeader>&amp;LDGRH A1-1</oddHeader>
    <oddFooter>&amp;CPage &amp;P</oddFooter>
  </headerFooter>
  <rowBreaks count="3" manualBreakCount="3">
    <brk id="45" max="16383" man="1"/>
    <brk id="87" max="16383" man="1"/>
    <brk id="131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99FF"/>
  </sheetPr>
  <dimension ref="A1:FG127"/>
  <sheetViews>
    <sheetView showZeros="0" topLeftCell="A34" zoomScale="75" zoomScaleNormal="75" workbookViewId="0">
      <selection activeCell="G65" sqref="G65:I65"/>
    </sheetView>
  </sheetViews>
  <sheetFormatPr baseColWidth="10" defaultColWidth="11.44140625" defaultRowHeight="11.4"/>
  <cols>
    <col min="1" max="1" width="9.33203125" style="523" customWidth="1"/>
    <col min="2" max="2" width="53.6640625" style="523" customWidth="1"/>
    <col min="3" max="3" width="11.44140625" style="523" customWidth="1"/>
    <col min="4" max="4" width="8.88671875" style="523" customWidth="1"/>
    <col min="5" max="5" width="9.109375" style="523" customWidth="1"/>
    <col min="6" max="6" width="9.109375" style="524" customWidth="1"/>
    <col min="7" max="9" width="9.109375" style="523" customWidth="1"/>
    <col min="10" max="10" width="7.109375" style="523" customWidth="1"/>
    <col min="11" max="11" width="9.5546875" style="523" customWidth="1"/>
    <col min="12" max="12" width="7.88671875" style="523" customWidth="1"/>
    <col min="13" max="15" width="7.33203125" style="523" customWidth="1"/>
    <col min="16" max="16384" width="11.44140625" style="523"/>
  </cols>
  <sheetData>
    <row r="1" spans="1:123" ht="15" customHeight="1"/>
    <row r="2" spans="1:123" s="529" customFormat="1" ht="24" customHeight="1">
      <c r="A2" s="2237" t="str">
        <f>'fiche technique'!A5</f>
        <v>Bilan de la campagne 2014 de recrutement et d'affectation des professeurs des universités (session synchronisée - ANTEE)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</row>
    <row r="3" spans="1:123" s="529" customFormat="1" ht="15" customHeight="1">
      <c r="A3" s="557"/>
      <c r="B3" s="557"/>
      <c r="C3" s="557"/>
      <c r="D3" s="557"/>
      <c r="E3" s="557"/>
      <c r="F3" s="558"/>
    </row>
    <row r="4" spans="1:123" s="529" customFormat="1" ht="19.5" customHeight="1">
      <c r="A4" s="2130" t="s">
        <v>106</v>
      </c>
      <c r="B4" s="2130"/>
      <c r="C4" s="2130"/>
      <c r="D4" s="2130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</row>
    <row r="5" spans="1:123" s="529" customFormat="1" ht="19.5" customHeight="1">
      <c r="A5" s="2130" t="s">
        <v>706</v>
      </c>
      <c r="B5" s="2130"/>
      <c r="C5" s="2130"/>
      <c r="D5" s="2130"/>
      <c r="E5" s="2130"/>
      <c r="F5" s="2130"/>
      <c r="G5" s="2130"/>
      <c r="H5" s="2130"/>
      <c r="I5" s="2130"/>
      <c r="J5" s="2130"/>
      <c r="K5" s="2130"/>
      <c r="L5" s="2130"/>
      <c r="M5" s="2130"/>
      <c r="N5" s="2130"/>
      <c r="O5" s="2130"/>
    </row>
    <row r="6" spans="1:123" ht="15" customHeight="1">
      <c r="A6" s="607"/>
      <c r="B6" s="607"/>
      <c r="C6" s="607"/>
      <c r="D6" s="607"/>
      <c r="E6" s="607"/>
      <c r="F6" s="607"/>
    </row>
    <row r="7" spans="1:123" s="529" customFormat="1" ht="19.5" customHeight="1">
      <c r="A7" s="2131" t="s">
        <v>704</v>
      </c>
      <c r="B7" s="2131"/>
      <c r="C7" s="2131"/>
      <c r="D7" s="2131"/>
      <c r="E7" s="2131"/>
      <c r="F7" s="2131"/>
      <c r="G7" s="2131"/>
      <c r="H7" s="2131"/>
      <c r="I7" s="2131"/>
      <c r="J7" s="2131"/>
      <c r="K7" s="2131"/>
      <c r="L7" s="2131"/>
      <c r="M7" s="2131"/>
      <c r="N7" s="2131"/>
      <c r="O7" s="2131"/>
    </row>
    <row r="8" spans="1:123" ht="40.5" customHeight="1" thickBot="1">
      <c r="A8" s="560"/>
      <c r="B8" s="560"/>
      <c r="C8" s="537"/>
      <c r="D8" s="2238" t="s">
        <v>750</v>
      </c>
      <c r="E8" s="2238"/>
      <c r="F8" s="2238"/>
      <c r="G8" s="2239" t="s">
        <v>751</v>
      </c>
      <c r="H8" s="2239"/>
      <c r="I8" s="2239"/>
      <c r="J8" s="2240" t="s">
        <v>749</v>
      </c>
      <c r="K8" s="2241"/>
      <c r="L8" s="2242"/>
      <c r="M8" s="2243" t="s">
        <v>752</v>
      </c>
      <c r="N8" s="2239"/>
      <c r="O8" s="2239"/>
    </row>
    <row r="9" spans="1:123" ht="72.75" customHeight="1">
      <c r="A9" s="1244" t="s">
        <v>8</v>
      </c>
      <c r="B9" s="1245" t="s">
        <v>125</v>
      </c>
      <c r="C9" s="1583" t="s">
        <v>1</v>
      </c>
      <c r="D9" s="1479" t="s">
        <v>577</v>
      </c>
      <c r="E9" s="1479" t="s">
        <v>702</v>
      </c>
      <c r="F9" s="1480" t="s">
        <v>705</v>
      </c>
      <c r="G9" s="1479" t="s">
        <v>577</v>
      </c>
      <c r="H9" s="1479" t="s">
        <v>702</v>
      </c>
      <c r="I9" s="1480" t="s">
        <v>705</v>
      </c>
      <c r="J9" s="1479" t="s">
        <v>577</v>
      </c>
      <c r="K9" s="1479" t="s">
        <v>702</v>
      </c>
      <c r="L9" s="1480" t="s">
        <v>705</v>
      </c>
      <c r="M9" s="1479" t="s">
        <v>577</v>
      </c>
      <c r="N9" s="1479" t="s">
        <v>702</v>
      </c>
      <c r="O9" s="1581" t="s">
        <v>705</v>
      </c>
    </row>
    <row r="10" spans="1:123" s="542" customFormat="1" ht="13.8">
      <c r="A10" s="1246" t="s">
        <v>9</v>
      </c>
      <c r="B10" s="1247" t="s">
        <v>10</v>
      </c>
      <c r="C10" s="1483">
        <v>24</v>
      </c>
      <c r="D10" s="1495">
        <v>16</v>
      </c>
      <c r="E10" s="1496">
        <v>27</v>
      </c>
      <c r="F10" s="1497">
        <f>SUM(D10:E10)</f>
        <v>43</v>
      </c>
      <c r="G10" s="1498">
        <v>16</v>
      </c>
      <c r="H10" s="1498">
        <v>27</v>
      </c>
      <c r="I10" s="1499">
        <f>SUM(G10:H10)</f>
        <v>43</v>
      </c>
      <c r="J10" s="1500"/>
      <c r="K10" s="1500"/>
      <c r="L10" s="1497"/>
      <c r="M10" s="1483">
        <v>10</v>
      </c>
      <c r="N10" s="1483">
        <v>12</v>
      </c>
      <c r="O10" s="1484">
        <f>SUM(M10:N10)</f>
        <v>22</v>
      </c>
      <c r="P10" s="523"/>
      <c r="Q10" s="523"/>
      <c r="R10" s="523"/>
      <c r="S10" s="523"/>
      <c r="T10" s="523"/>
      <c r="U10" s="523"/>
      <c r="V10" s="523"/>
      <c r="W10" s="523"/>
      <c r="X10" s="523"/>
      <c r="Y10" s="523"/>
      <c r="Z10" s="523"/>
      <c r="AA10" s="523"/>
      <c r="AB10" s="523"/>
      <c r="AC10" s="523"/>
      <c r="AD10" s="523"/>
      <c r="AE10" s="523"/>
      <c r="AF10" s="523"/>
      <c r="AG10" s="523"/>
      <c r="AH10" s="523"/>
      <c r="AI10" s="523"/>
      <c r="AJ10" s="523"/>
      <c r="AK10" s="523"/>
      <c r="AL10" s="523"/>
      <c r="AM10" s="523"/>
      <c r="AN10" s="523"/>
      <c r="AO10" s="523"/>
      <c r="AP10" s="523"/>
      <c r="AQ10" s="523"/>
      <c r="AR10" s="523"/>
      <c r="AS10" s="523"/>
      <c r="AT10" s="523"/>
      <c r="AU10" s="523"/>
      <c r="AV10" s="523"/>
      <c r="AW10" s="523"/>
      <c r="AX10" s="523"/>
      <c r="AY10" s="523"/>
      <c r="AZ10" s="523"/>
      <c r="BA10" s="523"/>
      <c r="BB10" s="523"/>
      <c r="BC10" s="523"/>
      <c r="BD10" s="523"/>
      <c r="BE10" s="523"/>
      <c r="BF10" s="523"/>
      <c r="BG10" s="523"/>
      <c r="BH10" s="523"/>
      <c r="BI10" s="523"/>
      <c r="BJ10" s="523"/>
      <c r="BK10" s="523"/>
      <c r="BL10" s="523"/>
      <c r="BM10" s="523"/>
      <c r="BN10" s="523"/>
      <c r="BO10" s="523"/>
      <c r="BP10" s="523"/>
      <c r="BQ10" s="523"/>
      <c r="BR10" s="523"/>
      <c r="BS10" s="523"/>
      <c r="BT10" s="523"/>
      <c r="BU10" s="523"/>
      <c r="BV10" s="523"/>
      <c r="BW10" s="523"/>
      <c r="BX10" s="523"/>
      <c r="BY10" s="523"/>
      <c r="BZ10" s="523"/>
      <c r="CA10" s="523"/>
      <c r="CB10" s="523"/>
      <c r="CC10" s="523"/>
      <c r="CD10" s="523"/>
      <c r="CE10" s="523"/>
      <c r="CF10" s="523"/>
      <c r="CG10" s="523"/>
      <c r="CH10" s="523"/>
      <c r="CI10" s="523"/>
      <c r="CJ10" s="523"/>
      <c r="CK10" s="523"/>
      <c r="CL10" s="523"/>
      <c r="CM10" s="523"/>
      <c r="CN10" s="523"/>
      <c r="CO10" s="523"/>
      <c r="CP10" s="523"/>
      <c r="CQ10" s="523"/>
      <c r="CR10" s="523"/>
      <c r="CS10" s="523"/>
      <c r="CT10" s="523"/>
      <c r="CU10" s="523"/>
      <c r="CV10" s="523"/>
      <c r="CW10" s="523"/>
      <c r="CX10" s="523"/>
      <c r="CY10" s="523"/>
      <c r="CZ10" s="523"/>
      <c r="DA10" s="523"/>
      <c r="DB10" s="523"/>
      <c r="DC10" s="523"/>
      <c r="DD10" s="523"/>
      <c r="DE10" s="523"/>
      <c r="DF10" s="523"/>
      <c r="DG10" s="523"/>
      <c r="DH10" s="523"/>
      <c r="DI10" s="523"/>
      <c r="DJ10" s="523"/>
      <c r="DK10" s="523"/>
      <c r="DL10" s="523"/>
      <c r="DM10" s="523"/>
      <c r="DN10" s="523"/>
      <c r="DO10" s="523"/>
      <c r="DP10" s="523"/>
      <c r="DQ10" s="523"/>
      <c r="DR10" s="523"/>
      <c r="DS10" s="523"/>
    </row>
    <row r="11" spans="1:123" s="542" customFormat="1" ht="13.8">
      <c r="A11" s="1232" t="s">
        <v>11</v>
      </c>
      <c r="B11" s="1233" t="s">
        <v>12</v>
      </c>
      <c r="C11" s="1485">
        <v>22</v>
      </c>
      <c r="D11" s="1501">
        <v>9</v>
      </c>
      <c r="E11" s="1502">
        <v>25</v>
      </c>
      <c r="F11" s="1503">
        <f t="shared" ref="F11:F64" si="0">SUM(D11:E11)</f>
        <v>34</v>
      </c>
      <c r="G11" s="1504">
        <v>9</v>
      </c>
      <c r="H11" s="1504">
        <v>27</v>
      </c>
      <c r="I11" s="1505">
        <f t="shared" ref="I11:I64" si="1">SUM(G11:H11)</f>
        <v>36</v>
      </c>
      <c r="J11" s="1506"/>
      <c r="K11" s="1506"/>
      <c r="L11" s="1503"/>
      <c r="M11" s="1485">
        <v>8</v>
      </c>
      <c r="N11" s="1485">
        <v>14</v>
      </c>
      <c r="O11" s="1488">
        <f t="shared" ref="O11:O64" si="2">SUM(M11:N11)</f>
        <v>22</v>
      </c>
      <c r="P11" s="523"/>
      <c r="Q11" s="523"/>
      <c r="R11" s="523"/>
      <c r="S11" s="523"/>
      <c r="T11" s="523"/>
      <c r="U11" s="523"/>
      <c r="V11" s="523"/>
      <c r="W11" s="523"/>
      <c r="X11" s="523"/>
      <c r="Y11" s="523"/>
      <c r="Z11" s="523"/>
      <c r="AA11" s="523"/>
      <c r="AB11" s="523"/>
      <c r="AC11" s="523"/>
      <c r="AD11" s="523"/>
      <c r="AE11" s="523"/>
      <c r="AF11" s="523"/>
      <c r="AG11" s="523"/>
      <c r="AH11" s="523"/>
      <c r="AI11" s="523"/>
      <c r="AJ11" s="523"/>
      <c r="AK11" s="523"/>
      <c r="AL11" s="523"/>
      <c r="AM11" s="523"/>
      <c r="AN11" s="523"/>
      <c r="AO11" s="523"/>
      <c r="AP11" s="523"/>
      <c r="AQ11" s="523"/>
      <c r="AR11" s="523"/>
      <c r="AS11" s="523"/>
      <c r="AT11" s="523"/>
      <c r="AU11" s="523"/>
      <c r="AV11" s="523"/>
      <c r="AW11" s="523"/>
      <c r="AX11" s="523"/>
      <c r="AY11" s="523"/>
      <c r="AZ11" s="523"/>
      <c r="BA11" s="523"/>
      <c r="BB11" s="523"/>
      <c r="BC11" s="523"/>
      <c r="BD11" s="523"/>
      <c r="BE11" s="523"/>
      <c r="BF11" s="523"/>
      <c r="BG11" s="523"/>
      <c r="BH11" s="523"/>
      <c r="BI11" s="523"/>
      <c r="BJ11" s="523"/>
      <c r="BK11" s="523"/>
      <c r="BL11" s="523"/>
      <c r="BM11" s="523"/>
      <c r="BN11" s="523"/>
      <c r="BO11" s="523"/>
      <c r="BP11" s="523"/>
      <c r="BQ11" s="523"/>
      <c r="BR11" s="523"/>
      <c r="BS11" s="523"/>
      <c r="BT11" s="523"/>
      <c r="BU11" s="523"/>
      <c r="BV11" s="523"/>
      <c r="BW11" s="523"/>
      <c r="BX11" s="523"/>
      <c r="BY11" s="523"/>
      <c r="BZ11" s="523"/>
      <c r="CA11" s="523"/>
      <c r="CB11" s="523"/>
      <c r="CC11" s="523"/>
      <c r="CD11" s="523"/>
      <c r="CE11" s="523"/>
      <c r="CF11" s="523"/>
      <c r="CG11" s="523"/>
      <c r="CH11" s="523"/>
      <c r="CI11" s="523"/>
      <c r="CJ11" s="523"/>
      <c r="CK11" s="523"/>
      <c r="CL11" s="523"/>
      <c r="CM11" s="523"/>
      <c r="CN11" s="523"/>
      <c r="CO11" s="523"/>
      <c r="CP11" s="523"/>
      <c r="CQ11" s="523"/>
      <c r="CR11" s="523"/>
      <c r="CS11" s="523"/>
      <c r="CT11" s="523"/>
      <c r="CU11" s="523"/>
      <c r="CV11" s="523"/>
      <c r="CW11" s="523"/>
      <c r="CX11" s="523"/>
      <c r="CY11" s="523"/>
      <c r="CZ11" s="523"/>
      <c r="DA11" s="523"/>
      <c r="DB11" s="523"/>
      <c r="DC11" s="523"/>
      <c r="DD11" s="523"/>
      <c r="DE11" s="523"/>
      <c r="DF11" s="523"/>
      <c r="DG11" s="523"/>
      <c r="DH11" s="523"/>
      <c r="DI11" s="523"/>
      <c r="DJ11" s="523"/>
      <c r="DK11" s="523"/>
      <c r="DL11" s="523"/>
      <c r="DM11" s="523"/>
      <c r="DN11" s="523"/>
      <c r="DO11" s="523"/>
      <c r="DP11" s="523"/>
      <c r="DQ11" s="523"/>
      <c r="DR11" s="523"/>
      <c r="DS11" s="523"/>
    </row>
    <row r="12" spans="1:123" s="542" customFormat="1" ht="13.8">
      <c r="A12" s="1232" t="s">
        <v>13</v>
      </c>
      <c r="B12" s="1233" t="s">
        <v>14</v>
      </c>
      <c r="C12" s="1485">
        <v>6</v>
      </c>
      <c r="D12" s="1501"/>
      <c r="E12" s="1502">
        <v>3</v>
      </c>
      <c r="F12" s="1503">
        <f t="shared" si="0"/>
        <v>3</v>
      </c>
      <c r="G12" s="1504"/>
      <c r="H12" s="1504">
        <v>3</v>
      </c>
      <c r="I12" s="1505">
        <f t="shared" si="1"/>
        <v>3</v>
      </c>
      <c r="J12" s="1506"/>
      <c r="K12" s="1506"/>
      <c r="L12" s="1503"/>
      <c r="M12" s="1485">
        <v>0</v>
      </c>
      <c r="N12" s="1485">
        <v>3</v>
      </c>
      <c r="O12" s="1488">
        <f t="shared" si="2"/>
        <v>3</v>
      </c>
      <c r="P12" s="523"/>
      <c r="Q12" s="523"/>
      <c r="R12" s="523"/>
      <c r="S12" s="523"/>
      <c r="T12" s="523"/>
      <c r="U12" s="523"/>
      <c r="V12" s="523"/>
      <c r="W12" s="523"/>
      <c r="X12" s="523"/>
      <c r="Y12" s="523"/>
      <c r="Z12" s="523"/>
      <c r="AA12" s="523"/>
      <c r="AB12" s="523"/>
      <c r="AC12" s="523"/>
      <c r="AD12" s="523"/>
      <c r="AE12" s="523"/>
      <c r="AF12" s="523"/>
      <c r="AG12" s="523"/>
      <c r="AH12" s="523"/>
      <c r="AI12" s="523"/>
      <c r="AJ12" s="523"/>
      <c r="AK12" s="523"/>
      <c r="AL12" s="523"/>
      <c r="AM12" s="523"/>
      <c r="AN12" s="523"/>
      <c r="AO12" s="523"/>
      <c r="AP12" s="523"/>
      <c r="AQ12" s="523"/>
      <c r="AR12" s="523"/>
      <c r="AS12" s="523"/>
      <c r="AT12" s="523"/>
      <c r="AU12" s="523"/>
      <c r="AV12" s="523"/>
      <c r="AW12" s="523"/>
      <c r="AX12" s="523"/>
      <c r="AY12" s="523"/>
      <c r="AZ12" s="523"/>
      <c r="BA12" s="523"/>
      <c r="BB12" s="523"/>
      <c r="BC12" s="523"/>
      <c r="BD12" s="523"/>
      <c r="BE12" s="523"/>
      <c r="BF12" s="523"/>
      <c r="BG12" s="523"/>
      <c r="BH12" s="523"/>
      <c r="BI12" s="523"/>
      <c r="BJ12" s="523"/>
      <c r="BK12" s="523"/>
      <c r="BL12" s="523"/>
      <c r="BM12" s="523"/>
      <c r="BN12" s="523"/>
      <c r="BO12" s="523"/>
      <c r="BP12" s="523"/>
      <c r="BQ12" s="523"/>
      <c r="BR12" s="523"/>
      <c r="BS12" s="523"/>
      <c r="BT12" s="523"/>
      <c r="BU12" s="523"/>
      <c r="BV12" s="523"/>
      <c r="BW12" s="523"/>
      <c r="BX12" s="523"/>
      <c r="BY12" s="523"/>
      <c r="BZ12" s="523"/>
      <c r="CA12" s="523"/>
      <c r="CB12" s="523"/>
      <c r="CC12" s="523"/>
      <c r="CD12" s="523"/>
      <c r="CE12" s="523"/>
      <c r="CF12" s="523"/>
      <c r="CG12" s="523"/>
      <c r="CH12" s="523"/>
      <c r="CI12" s="523"/>
      <c r="CJ12" s="523"/>
      <c r="CK12" s="523"/>
      <c r="CL12" s="523"/>
      <c r="CM12" s="523"/>
      <c r="CN12" s="523"/>
      <c r="CO12" s="523"/>
      <c r="CP12" s="523"/>
      <c r="CQ12" s="523"/>
      <c r="CR12" s="523"/>
      <c r="CS12" s="523"/>
      <c r="CT12" s="523"/>
      <c r="CU12" s="523"/>
      <c r="CV12" s="523"/>
      <c r="CW12" s="523"/>
      <c r="CX12" s="523"/>
      <c r="CY12" s="523"/>
      <c r="CZ12" s="523"/>
      <c r="DA12" s="523"/>
      <c r="DB12" s="523"/>
      <c r="DC12" s="523"/>
      <c r="DD12" s="523"/>
      <c r="DE12" s="523"/>
      <c r="DF12" s="523"/>
      <c r="DG12" s="523"/>
      <c r="DH12" s="523"/>
      <c r="DI12" s="523"/>
      <c r="DJ12" s="523"/>
      <c r="DK12" s="523"/>
      <c r="DL12" s="523"/>
      <c r="DM12" s="523"/>
      <c r="DN12" s="523"/>
      <c r="DO12" s="523"/>
      <c r="DP12" s="523"/>
      <c r="DQ12" s="523"/>
      <c r="DR12" s="523"/>
      <c r="DS12" s="523"/>
    </row>
    <row r="13" spans="1:123" s="542" customFormat="1" ht="13.8">
      <c r="A13" s="1232" t="s">
        <v>15</v>
      </c>
      <c r="B13" s="1233" t="s">
        <v>16</v>
      </c>
      <c r="C13" s="1485">
        <v>3</v>
      </c>
      <c r="D13" s="1501">
        <v>4</v>
      </c>
      <c r="E13" s="1502">
        <v>10</v>
      </c>
      <c r="F13" s="1503">
        <f t="shared" si="0"/>
        <v>14</v>
      </c>
      <c r="G13" s="1504">
        <v>4</v>
      </c>
      <c r="H13" s="1504">
        <v>11</v>
      </c>
      <c r="I13" s="1505">
        <f t="shared" si="1"/>
        <v>15</v>
      </c>
      <c r="J13" s="1506"/>
      <c r="K13" s="1506"/>
      <c r="L13" s="1503"/>
      <c r="M13" s="1485">
        <v>1</v>
      </c>
      <c r="N13" s="1485">
        <v>4</v>
      </c>
      <c r="O13" s="1488">
        <f t="shared" si="2"/>
        <v>5</v>
      </c>
      <c r="P13" s="523"/>
      <c r="Q13" s="523"/>
      <c r="R13" s="523"/>
      <c r="S13" s="523"/>
      <c r="T13" s="523"/>
      <c r="U13" s="523"/>
      <c r="V13" s="523"/>
      <c r="W13" s="523"/>
      <c r="X13" s="523"/>
      <c r="Y13" s="523"/>
      <c r="Z13" s="523"/>
      <c r="AA13" s="523"/>
      <c r="AB13" s="523"/>
      <c r="AC13" s="523"/>
      <c r="AD13" s="523"/>
      <c r="AE13" s="523"/>
      <c r="AF13" s="523"/>
      <c r="AG13" s="523"/>
      <c r="AH13" s="523"/>
      <c r="AI13" s="523"/>
      <c r="AJ13" s="523"/>
      <c r="AK13" s="523"/>
      <c r="AL13" s="523"/>
      <c r="AM13" s="523"/>
      <c r="AN13" s="523"/>
      <c r="AO13" s="523"/>
      <c r="AP13" s="523"/>
      <c r="AQ13" s="523"/>
      <c r="AR13" s="523"/>
      <c r="AS13" s="523"/>
      <c r="AT13" s="523"/>
      <c r="AU13" s="523"/>
      <c r="AV13" s="523"/>
      <c r="AW13" s="523"/>
      <c r="AX13" s="523"/>
      <c r="AY13" s="523"/>
      <c r="AZ13" s="523"/>
      <c r="BA13" s="523"/>
      <c r="BB13" s="523"/>
      <c r="BC13" s="523"/>
      <c r="BD13" s="523"/>
      <c r="BE13" s="523"/>
      <c r="BF13" s="523"/>
      <c r="BG13" s="523"/>
      <c r="BH13" s="523"/>
      <c r="BI13" s="523"/>
      <c r="BJ13" s="523"/>
      <c r="BK13" s="523"/>
      <c r="BL13" s="523"/>
      <c r="BM13" s="523"/>
      <c r="BN13" s="523"/>
      <c r="BO13" s="523"/>
      <c r="BP13" s="523"/>
      <c r="BQ13" s="523"/>
      <c r="BR13" s="523"/>
      <c r="BS13" s="523"/>
      <c r="BT13" s="523"/>
      <c r="BU13" s="523"/>
      <c r="BV13" s="523"/>
      <c r="BW13" s="523"/>
      <c r="BX13" s="523"/>
      <c r="BY13" s="523"/>
      <c r="BZ13" s="523"/>
      <c r="CA13" s="523"/>
      <c r="CB13" s="523"/>
      <c r="CC13" s="523"/>
      <c r="CD13" s="523"/>
      <c r="CE13" s="523"/>
      <c r="CF13" s="523"/>
      <c r="CG13" s="523"/>
      <c r="CH13" s="523"/>
      <c r="CI13" s="523"/>
      <c r="CJ13" s="523"/>
      <c r="CK13" s="523"/>
      <c r="CL13" s="523"/>
      <c r="CM13" s="523"/>
      <c r="CN13" s="523"/>
      <c r="CO13" s="523"/>
      <c r="CP13" s="523"/>
      <c r="CQ13" s="523"/>
      <c r="CR13" s="523"/>
      <c r="CS13" s="523"/>
      <c r="CT13" s="523"/>
      <c r="CU13" s="523"/>
      <c r="CV13" s="523"/>
      <c r="CW13" s="523"/>
      <c r="CX13" s="523"/>
      <c r="CY13" s="523"/>
      <c r="CZ13" s="523"/>
      <c r="DA13" s="523"/>
      <c r="DB13" s="523"/>
      <c r="DC13" s="523"/>
      <c r="DD13" s="523"/>
      <c r="DE13" s="523"/>
      <c r="DF13" s="523"/>
      <c r="DG13" s="523"/>
      <c r="DH13" s="523"/>
      <c r="DI13" s="523"/>
      <c r="DJ13" s="523"/>
      <c r="DK13" s="523"/>
      <c r="DL13" s="523"/>
      <c r="DM13" s="523"/>
      <c r="DN13" s="523"/>
      <c r="DO13" s="523"/>
      <c r="DP13" s="523"/>
      <c r="DQ13" s="523"/>
      <c r="DR13" s="523"/>
      <c r="DS13" s="523"/>
    </row>
    <row r="14" spans="1:123" s="542" customFormat="1" ht="13.8">
      <c r="A14" s="1232" t="s">
        <v>17</v>
      </c>
      <c r="B14" s="1233" t="s">
        <v>18</v>
      </c>
      <c r="C14" s="1485">
        <v>25</v>
      </c>
      <c r="D14" s="1501">
        <v>26</v>
      </c>
      <c r="E14" s="1502">
        <v>52</v>
      </c>
      <c r="F14" s="1503">
        <f t="shared" si="0"/>
        <v>78</v>
      </c>
      <c r="G14" s="1504">
        <v>26</v>
      </c>
      <c r="H14" s="1504">
        <v>52</v>
      </c>
      <c r="I14" s="1505">
        <f t="shared" si="1"/>
        <v>78</v>
      </c>
      <c r="J14" s="1507"/>
      <c r="K14" s="1507">
        <v>2</v>
      </c>
      <c r="L14" s="1508">
        <f t="shared" ref="L14:L62" si="3">SUM(J14:K14)</f>
        <v>2</v>
      </c>
      <c r="M14" s="1485">
        <v>5</v>
      </c>
      <c r="N14" s="1485">
        <v>9</v>
      </c>
      <c r="O14" s="1488">
        <f t="shared" si="2"/>
        <v>14</v>
      </c>
      <c r="Q14" s="523"/>
      <c r="R14" s="523"/>
      <c r="S14" s="523"/>
      <c r="T14" s="523"/>
      <c r="U14" s="523"/>
      <c r="V14" s="523"/>
      <c r="W14" s="523"/>
      <c r="X14" s="523"/>
      <c r="Y14" s="523"/>
      <c r="Z14" s="523"/>
      <c r="AA14" s="523"/>
      <c r="AB14" s="523"/>
      <c r="AC14" s="523"/>
      <c r="AD14" s="523"/>
      <c r="AE14" s="523"/>
      <c r="AF14" s="523"/>
      <c r="AG14" s="523"/>
      <c r="AH14" s="523"/>
      <c r="AI14" s="523"/>
      <c r="AJ14" s="523"/>
      <c r="AK14" s="523"/>
      <c r="AL14" s="523"/>
      <c r="AM14" s="523"/>
      <c r="AN14" s="523"/>
      <c r="AO14" s="523"/>
      <c r="AP14" s="523"/>
      <c r="AQ14" s="523"/>
      <c r="AR14" s="523"/>
      <c r="AS14" s="523"/>
      <c r="AT14" s="523"/>
      <c r="AU14" s="523"/>
      <c r="AV14" s="523"/>
      <c r="AW14" s="523"/>
      <c r="AX14" s="523"/>
      <c r="AY14" s="523"/>
      <c r="AZ14" s="523"/>
      <c r="BA14" s="523"/>
      <c r="BB14" s="523"/>
      <c r="BC14" s="523"/>
      <c r="BD14" s="523"/>
      <c r="BE14" s="523"/>
      <c r="BF14" s="523"/>
      <c r="BG14" s="523"/>
      <c r="BH14" s="523"/>
      <c r="BI14" s="523"/>
      <c r="BJ14" s="523"/>
      <c r="BK14" s="523"/>
      <c r="BL14" s="523"/>
      <c r="BM14" s="523"/>
      <c r="BN14" s="523"/>
      <c r="BO14" s="523"/>
      <c r="BP14" s="523"/>
      <c r="BQ14" s="523"/>
      <c r="BR14" s="523"/>
      <c r="BS14" s="523"/>
      <c r="BT14" s="523"/>
      <c r="BU14" s="523"/>
      <c r="BV14" s="523"/>
      <c r="BW14" s="523"/>
      <c r="BX14" s="523"/>
      <c r="BY14" s="523"/>
      <c r="BZ14" s="523"/>
      <c r="CA14" s="523"/>
      <c r="CB14" s="523"/>
      <c r="CC14" s="523"/>
      <c r="CD14" s="523"/>
      <c r="CE14" s="523"/>
      <c r="CF14" s="523"/>
      <c r="CG14" s="523"/>
      <c r="CH14" s="523"/>
      <c r="CI14" s="523"/>
      <c r="CJ14" s="523"/>
      <c r="CK14" s="523"/>
      <c r="CL14" s="523"/>
      <c r="CM14" s="523"/>
      <c r="CN14" s="523"/>
      <c r="CO14" s="523"/>
      <c r="CP14" s="523"/>
      <c r="CQ14" s="523"/>
      <c r="CR14" s="523"/>
      <c r="CS14" s="523"/>
      <c r="CT14" s="523"/>
      <c r="CU14" s="523"/>
      <c r="CV14" s="523"/>
      <c r="CW14" s="523"/>
      <c r="CX14" s="523"/>
      <c r="CY14" s="523"/>
      <c r="CZ14" s="523"/>
      <c r="DA14" s="523"/>
      <c r="DB14" s="523"/>
      <c r="DC14" s="523"/>
      <c r="DD14" s="523"/>
      <c r="DE14" s="523"/>
      <c r="DF14" s="523"/>
      <c r="DG14" s="523"/>
      <c r="DH14" s="523"/>
      <c r="DI14" s="523"/>
      <c r="DJ14" s="523"/>
      <c r="DK14" s="523"/>
      <c r="DL14" s="523"/>
      <c r="DM14" s="523"/>
      <c r="DN14" s="523"/>
      <c r="DO14" s="523"/>
      <c r="DP14" s="523"/>
      <c r="DQ14" s="523"/>
      <c r="DR14" s="523"/>
      <c r="DS14" s="523"/>
    </row>
    <row r="15" spans="1:123" s="542" customFormat="1" ht="13.8">
      <c r="A15" s="1232" t="s">
        <v>19</v>
      </c>
      <c r="B15" s="1233" t="s">
        <v>20</v>
      </c>
      <c r="C15" s="1485">
        <v>23</v>
      </c>
      <c r="D15" s="1501">
        <v>5</v>
      </c>
      <c r="E15" s="1502">
        <v>21</v>
      </c>
      <c r="F15" s="1503">
        <f t="shared" si="0"/>
        <v>26</v>
      </c>
      <c r="G15" s="1504">
        <v>6</v>
      </c>
      <c r="H15" s="1504">
        <v>22</v>
      </c>
      <c r="I15" s="1505">
        <f t="shared" si="1"/>
        <v>28</v>
      </c>
      <c r="J15" s="1507">
        <v>1</v>
      </c>
      <c r="K15" s="1507"/>
      <c r="L15" s="1508">
        <f t="shared" si="3"/>
        <v>1</v>
      </c>
      <c r="M15" s="1485">
        <v>3</v>
      </c>
      <c r="N15" s="1485">
        <v>13</v>
      </c>
      <c r="O15" s="1488">
        <f t="shared" si="2"/>
        <v>16</v>
      </c>
      <c r="Q15" s="523"/>
      <c r="R15" s="523"/>
      <c r="S15" s="523"/>
      <c r="T15" s="523"/>
      <c r="U15" s="523"/>
      <c r="V15" s="523"/>
      <c r="W15" s="523"/>
      <c r="X15" s="523"/>
      <c r="Y15" s="523"/>
      <c r="Z15" s="523"/>
      <c r="AA15" s="523"/>
      <c r="AB15" s="523"/>
      <c r="AC15" s="523"/>
      <c r="AD15" s="523"/>
      <c r="AE15" s="523"/>
      <c r="AF15" s="523"/>
      <c r="AG15" s="523"/>
      <c r="AH15" s="523"/>
      <c r="AI15" s="523"/>
      <c r="AJ15" s="523"/>
      <c r="AK15" s="523"/>
      <c r="AL15" s="523"/>
      <c r="AM15" s="523"/>
      <c r="AN15" s="523"/>
      <c r="AO15" s="523"/>
      <c r="AP15" s="523"/>
      <c r="AQ15" s="523"/>
      <c r="AR15" s="523"/>
      <c r="AS15" s="523"/>
      <c r="AT15" s="523"/>
      <c r="AU15" s="523"/>
      <c r="AV15" s="523"/>
      <c r="AW15" s="523"/>
      <c r="AX15" s="523"/>
      <c r="AY15" s="523"/>
      <c r="AZ15" s="523"/>
      <c r="BA15" s="523"/>
      <c r="BB15" s="523"/>
      <c r="BC15" s="523"/>
      <c r="BD15" s="523"/>
      <c r="BE15" s="523"/>
      <c r="BF15" s="523"/>
      <c r="BG15" s="523"/>
      <c r="BH15" s="523"/>
      <c r="BI15" s="523"/>
      <c r="BJ15" s="523"/>
      <c r="BK15" s="523"/>
      <c r="BL15" s="523"/>
      <c r="BM15" s="523"/>
      <c r="BN15" s="523"/>
      <c r="BO15" s="523"/>
      <c r="BP15" s="523"/>
      <c r="BQ15" s="523"/>
      <c r="BR15" s="523"/>
      <c r="BS15" s="523"/>
      <c r="BT15" s="523"/>
      <c r="BU15" s="523"/>
      <c r="BV15" s="523"/>
      <c r="BW15" s="523"/>
      <c r="BX15" s="523"/>
      <c r="BY15" s="523"/>
      <c r="BZ15" s="523"/>
      <c r="CA15" s="523"/>
      <c r="CB15" s="523"/>
      <c r="CC15" s="523"/>
      <c r="CD15" s="523"/>
      <c r="CE15" s="523"/>
      <c r="CF15" s="523"/>
      <c r="CG15" s="523"/>
      <c r="CH15" s="523"/>
      <c r="CI15" s="523"/>
      <c r="CJ15" s="523"/>
      <c r="CK15" s="523"/>
      <c r="CL15" s="523"/>
      <c r="CM15" s="523"/>
      <c r="CN15" s="523"/>
      <c r="CO15" s="523"/>
      <c r="CP15" s="523"/>
      <c r="CQ15" s="523"/>
      <c r="CR15" s="523"/>
      <c r="CS15" s="523"/>
      <c r="CT15" s="523"/>
      <c r="CU15" s="523"/>
      <c r="CV15" s="523"/>
      <c r="CW15" s="523"/>
      <c r="CX15" s="523"/>
      <c r="CY15" s="523"/>
      <c r="CZ15" s="523"/>
      <c r="DA15" s="523"/>
      <c r="DB15" s="523"/>
      <c r="DC15" s="523"/>
      <c r="DD15" s="523"/>
      <c r="DE15" s="523"/>
      <c r="DF15" s="523"/>
      <c r="DG15" s="523"/>
      <c r="DH15" s="523"/>
      <c r="DI15" s="523"/>
      <c r="DJ15" s="523"/>
      <c r="DK15" s="523"/>
      <c r="DL15" s="523"/>
      <c r="DM15" s="523"/>
      <c r="DN15" s="523"/>
      <c r="DO15" s="523"/>
      <c r="DP15" s="523"/>
      <c r="DQ15" s="523"/>
      <c r="DR15" s="523"/>
      <c r="DS15" s="523"/>
    </row>
    <row r="16" spans="1:123" s="542" customFormat="1" ht="13.8">
      <c r="A16" s="1232" t="s">
        <v>21</v>
      </c>
      <c r="B16" s="1233" t="s">
        <v>22</v>
      </c>
      <c r="C16" s="1485">
        <v>24</v>
      </c>
      <c r="D16" s="1501">
        <v>84</v>
      </c>
      <c r="E16" s="1502">
        <v>96</v>
      </c>
      <c r="F16" s="1509">
        <f t="shared" si="0"/>
        <v>180</v>
      </c>
      <c r="G16" s="1504">
        <v>84</v>
      </c>
      <c r="H16" s="1504">
        <v>96</v>
      </c>
      <c r="I16" s="1505">
        <f t="shared" si="1"/>
        <v>180</v>
      </c>
      <c r="J16" s="1507">
        <v>11</v>
      </c>
      <c r="K16" s="1507">
        <v>9</v>
      </c>
      <c r="L16" s="1508">
        <f t="shared" si="3"/>
        <v>20</v>
      </c>
      <c r="M16" s="1485">
        <v>2</v>
      </c>
      <c r="N16" s="1485">
        <v>1</v>
      </c>
      <c r="O16" s="1488">
        <f t="shared" si="2"/>
        <v>3</v>
      </c>
    </row>
    <row r="17" spans="1:15" s="542" customFormat="1" ht="13.8">
      <c r="A17" s="1232" t="s">
        <v>23</v>
      </c>
      <c r="B17" s="1233" t="s">
        <v>24</v>
      </c>
      <c r="C17" s="1485">
        <v>6</v>
      </c>
      <c r="D17" s="1501">
        <v>16</v>
      </c>
      <c r="E17" s="1502">
        <v>7</v>
      </c>
      <c r="F17" s="1509">
        <f t="shared" si="0"/>
        <v>23</v>
      </c>
      <c r="G17" s="1504">
        <v>16</v>
      </c>
      <c r="H17" s="1504">
        <v>7</v>
      </c>
      <c r="I17" s="1505">
        <f t="shared" si="1"/>
        <v>23</v>
      </c>
      <c r="J17" s="1507">
        <v>1</v>
      </c>
      <c r="K17" s="1507">
        <v>1</v>
      </c>
      <c r="L17" s="1508">
        <f t="shared" si="3"/>
        <v>2</v>
      </c>
      <c r="M17" s="1485"/>
      <c r="N17" s="1485"/>
      <c r="O17" s="1488">
        <f t="shared" si="2"/>
        <v>0</v>
      </c>
    </row>
    <row r="18" spans="1:15" s="542" customFormat="1" ht="13.8">
      <c r="A18" s="1232" t="s">
        <v>25</v>
      </c>
      <c r="B18" s="1233" t="s">
        <v>26</v>
      </c>
      <c r="C18" s="1485">
        <v>23</v>
      </c>
      <c r="D18" s="1501">
        <v>55</v>
      </c>
      <c r="E18" s="1502">
        <v>51</v>
      </c>
      <c r="F18" s="1509">
        <f t="shared" si="0"/>
        <v>106</v>
      </c>
      <c r="G18" s="1504">
        <v>55</v>
      </c>
      <c r="H18" s="1504">
        <v>51</v>
      </c>
      <c r="I18" s="1505">
        <f t="shared" si="1"/>
        <v>106</v>
      </c>
      <c r="J18" s="1507">
        <v>9</v>
      </c>
      <c r="K18" s="1507">
        <v>8</v>
      </c>
      <c r="L18" s="1508">
        <f t="shared" si="3"/>
        <v>17</v>
      </c>
      <c r="M18" s="1485">
        <v>1</v>
      </c>
      <c r="N18" s="1485">
        <v>0</v>
      </c>
      <c r="O18" s="1488">
        <f t="shared" si="2"/>
        <v>1</v>
      </c>
    </row>
    <row r="19" spans="1:15" s="542" customFormat="1" ht="13.8">
      <c r="A19" s="1232" t="s">
        <v>27</v>
      </c>
      <c r="B19" s="1233" t="s">
        <v>28</v>
      </c>
      <c r="C19" s="1485">
        <v>7</v>
      </c>
      <c r="D19" s="1501">
        <v>11</v>
      </c>
      <c r="E19" s="1502">
        <v>6</v>
      </c>
      <c r="F19" s="1509">
        <f t="shared" si="0"/>
        <v>17</v>
      </c>
      <c r="G19" s="1504">
        <v>11</v>
      </c>
      <c r="H19" s="1504">
        <v>6</v>
      </c>
      <c r="I19" s="1505">
        <f t="shared" si="1"/>
        <v>17</v>
      </c>
      <c r="J19" s="1507"/>
      <c r="K19" s="1507">
        <v>2</v>
      </c>
      <c r="L19" s="1508">
        <f t="shared" si="3"/>
        <v>2</v>
      </c>
      <c r="M19" s="1485"/>
      <c r="N19" s="1485"/>
      <c r="O19" s="1488">
        <f t="shared" si="2"/>
        <v>0</v>
      </c>
    </row>
    <row r="20" spans="1:15" s="542" customFormat="1" ht="13.8">
      <c r="A20" s="1232" t="s">
        <v>29</v>
      </c>
      <c r="B20" s="1233" t="s">
        <v>30</v>
      </c>
      <c r="C20" s="1485">
        <v>31</v>
      </c>
      <c r="D20" s="1501">
        <v>56</v>
      </c>
      <c r="E20" s="1502">
        <v>71</v>
      </c>
      <c r="F20" s="1509">
        <f t="shared" si="0"/>
        <v>127</v>
      </c>
      <c r="G20" s="1504">
        <v>56</v>
      </c>
      <c r="H20" s="1504">
        <v>71</v>
      </c>
      <c r="I20" s="1505">
        <f t="shared" si="1"/>
        <v>127</v>
      </c>
      <c r="J20" s="1507">
        <v>10</v>
      </c>
      <c r="K20" s="1507">
        <v>9</v>
      </c>
      <c r="L20" s="1508">
        <f t="shared" si="3"/>
        <v>19</v>
      </c>
      <c r="M20" s="1485">
        <v>0</v>
      </c>
      <c r="N20" s="1485">
        <v>2</v>
      </c>
      <c r="O20" s="1488">
        <f t="shared" si="2"/>
        <v>2</v>
      </c>
    </row>
    <row r="21" spans="1:15" s="542" customFormat="1" ht="13.8">
      <c r="A21" s="1232" t="s">
        <v>31</v>
      </c>
      <c r="B21" s="1233" t="s">
        <v>32</v>
      </c>
      <c r="C21" s="1485">
        <v>9</v>
      </c>
      <c r="D21" s="1501">
        <v>10</v>
      </c>
      <c r="E21" s="1502">
        <v>13</v>
      </c>
      <c r="F21" s="1509">
        <f t="shared" si="0"/>
        <v>23</v>
      </c>
      <c r="G21" s="1504">
        <v>10</v>
      </c>
      <c r="H21" s="1504">
        <v>13</v>
      </c>
      <c r="I21" s="1505">
        <f t="shared" si="1"/>
        <v>23</v>
      </c>
      <c r="J21" s="1507">
        <v>1</v>
      </c>
      <c r="K21" s="1507">
        <v>3</v>
      </c>
      <c r="L21" s="1508">
        <f t="shared" si="3"/>
        <v>4</v>
      </c>
      <c r="M21" s="1485"/>
      <c r="N21" s="1485"/>
      <c r="O21" s="1488">
        <f t="shared" si="2"/>
        <v>0</v>
      </c>
    </row>
    <row r="22" spans="1:15" s="542" customFormat="1" ht="22.8">
      <c r="A22" s="1232" t="s">
        <v>35</v>
      </c>
      <c r="B22" s="1248" t="s">
        <v>36</v>
      </c>
      <c r="C22" s="1485">
        <v>21</v>
      </c>
      <c r="D22" s="1501">
        <v>49</v>
      </c>
      <c r="E22" s="1502">
        <v>20</v>
      </c>
      <c r="F22" s="1509">
        <f t="shared" si="0"/>
        <v>69</v>
      </c>
      <c r="G22" s="1504">
        <v>49</v>
      </c>
      <c r="H22" s="1504">
        <v>20</v>
      </c>
      <c r="I22" s="1505">
        <f t="shared" si="1"/>
        <v>69</v>
      </c>
      <c r="J22" s="1507">
        <v>12</v>
      </c>
      <c r="K22" s="1507">
        <v>4</v>
      </c>
      <c r="L22" s="1508">
        <f t="shared" si="3"/>
        <v>16</v>
      </c>
      <c r="M22" s="1485">
        <v>2</v>
      </c>
      <c r="N22" s="1485">
        <v>0</v>
      </c>
      <c r="O22" s="1488">
        <f t="shared" si="2"/>
        <v>2</v>
      </c>
    </row>
    <row r="23" spans="1:15" s="542" customFormat="1" ht="22.8">
      <c r="A23" s="1232" t="s">
        <v>37</v>
      </c>
      <c r="B23" s="1248" t="s">
        <v>122</v>
      </c>
      <c r="C23" s="1485">
        <v>2</v>
      </c>
      <c r="D23" s="1501">
        <v>9</v>
      </c>
      <c r="E23" s="1502">
        <v>17</v>
      </c>
      <c r="F23" s="1509">
        <f t="shared" si="0"/>
        <v>26</v>
      </c>
      <c r="G23" s="1504">
        <v>9</v>
      </c>
      <c r="H23" s="1504">
        <v>17</v>
      </c>
      <c r="I23" s="1505">
        <f t="shared" si="1"/>
        <v>26</v>
      </c>
      <c r="J23" s="1507">
        <v>1</v>
      </c>
      <c r="K23" s="1507">
        <v>5</v>
      </c>
      <c r="L23" s="1508">
        <f t="shared" si="3"/>
        <v>6</v>
      </c>
      <c r="M23" s="1485"/>
      <c r="N23" s="1485"/>
      <c r="O23" s="1488">
        <f t="shared" si="2"/>
        <v>0</v>
      </c>
    </row>
    <row r="24" spans="1:15" s="542" customFormat="1" ht="13.8">
      <c r="A24" s="1232" t="s">
        <v>38</v>
      </c>
      <c r="B24" s="1233" t="s">
        <v>39</v>
      </c>
      <c r="C24" s="1485">
        <v>27</v>
      </c>
      <c r="D24" s="1501">
        <v>73</v>
      </c>
      <c r="E24" s="1502">
        <v>55</v>
      </c>
      <c r="F24" s="1509">
        <f t="shared" si="0"/>
        <v>128</v>
      </c>
      <c r="G24" s="1504">
        <v>73</v>
      </c>
      <c r="H24" s="1504">
        <v>55</v>
      </c>
      <c r="I24" s="1505">
        <f t="shared" si="1"/>
        <v>128</v>
      </c>
      <c r="J24" s="1507">
        <v>12</v>
      </c>
      <c r="K24" s="1507">
        <v>12</v>
      </c>
      <c r="L24" s="1508">
        <f t="shared" si="3"/>
        <v>24</v>
      </c>
      <c r="M24" s="1485">
        <v>2</v>
      </c>
      <c r="N24" s="1485">
        <v>2</v>
      </c>
      <c r="O24" s="1488">
        <f t="shared" si="2"/>
        <v>4</v>
      </c>
    </row>
    <row r="25" spans="1:15" s="542" customFormat="1" ht="13.8">
      <c r="A25" s="1232" t="s">
        <v>40</v>
      </c>
      <c r="B25" s="1233" t="s">
        <v>41</v>
      </c>
      <c r="C25" s="1485">
        <v>14</v>
      </c>
      <c r="D25" s="1501">
        <v>45</v>
      </c>
      <c r="E25" s="1502">
        <v>60</v>
      </c>
      <c r="F25" s="1509">
        <f t="shared" si="0"/>
        <v>105</v>
      </c>
      <c r="G25" s="1504">
        <v>45</v>
      </c>
      <c r="H25" s="1504">
        <v>60</v>
      </c>
      <c r="I25" s="1505">
        <f t="shared" si="1"/>
        <v>105</v>
      </c>
      <c r="J25" s="1507">
        <v>6</v>
      </c>
      <c r="K25" s="1507">
        <v>5</v>
      </c>
      <c r="L25" s="1508">
        <f t="shared" si="3"/>
        <v>11</v>
      </c>
      <c r="M25" s="1485">
        <v>1</v>
      </c>
      <c r="N25" s="1485">
        <v>1</v>
      </c>
      <c r="O25" s="1488">
        <f t="shared" si="2"/>
        <v>2</v>
      </c>
    </row>
    <row r="26" spans="1:15" s="542" customFormat="1" ht="34.200000000000003">
      <c r="A26" s="1232" t="s">
        <v>42</v>
      </c>
      <c r="B26" s="1248" t="s">
        <v>230</v>
      </c>
      <c r="C26" s="1485">
        <v>16</v>
      </c>
      <c r="D26" s="1501">
        <v>52</v>
      </c>
      <c r="E26" s="1502">
        <v>67</v>
      </c>
      <c r="F26" s="1509">
        <f t="shared" si="0"/>
        <v>119</v>
      </c>
      <c r="G26" s="1504">
        <v>52</v>
      </c>
      <c r="H26" s="1504">
        <v>67</v>
      </c>
      <c r="I26" s="1505">
        <f t="shared" si="1"/>
        <v>119</v>
      </c>
      <c r="J26" s="1507">
        <v>4</v>
      </c>
      <c r="K26" s="1507">
        <v>11</v>
      </c>
      <c r="L26" s="1508">
        <f t="shared" si="3"/>
        <v>15</v>
      </c>
      <c r="M26" s="1485">
        <v>0</v>
      </c>
      <c r="N26" s="1485">
        <v>5</v>
      </c>
      <c r="O26" s="1488">
        <f t="shared" si="2"/>
        <v>5</v>
      </c>
    </row>
    <row r="27" spans="1:15" s="542" customFormat="1" ht="13.8">
      <c r="A27" s="1232" t="s">
        <v>43</v>
      </c>
      <c r="B27" s="1233" t="s">
        <v>44</v>
      </c>
      <c r="C27" s="1485">
        <v>21</v>
      </c>
      <c r="D27" s="1501">
        <v>68</v>
      </c>
      <c r="E27" s="1502">
        <v>133</v>
      </c>
      <c r="F27" s="1509">
        <f t="shared" si="0"/>
        <v>201</v>
      </c>
      <c r="G27" s="1504">
        <v>68</v>
      </c>
      <c r="H27" s="1504">
        <v>133</v>
      </c>
      <c r="I27" s="1505">
        <f t="shared" si="1"/>
        <v>201</v>
      </c>
      <c r="J27" s="1507">
        <v>8</v>
      </c>
      <c r="K27" s="1507">
        <v>7</v>
      </c>
      <c r="L27" s="1508">
        <f t="shared" si="3"/>
        <v>15</v>
      </c>
      <c r="M27" s="1485">
        <v>4</v>
      </c>
      <c r="N27" s="1485">
        <v>3</v>
      </c>
      <c r="O27" s="1488">
        <f t="shared" si="2"/>
        <v>7</v>
      </c>
    </row>
    <row r="28" spans="1:15" s="542" customFormat="1" ht="13.8">
      <c r="A28" s="1232" t="s">
        <v>45</v>
      </c>
      <c r="B28" s="1233" t="s">
        <v>320</v>
      </c>
      <c r="C28" s="1485">
        <v>4</v>
      </c>
      <c r="D28" s="1501">
        <v>17</v>
      </c>
      <c r="E28" s="1502">
        <v>13</v>
      </c>
      <c r="F28" s="1509">
        <f t="shared" si="0"/>
        <v>30</v>
      </c>
      <c r="G28" s="1504">
        <v>17</v>
      </c>
      <c r="H28" s="1504">
        <v>13</v>
      </c>
      <c r="I28" s="1505">
        <f t="shared" si="1"/>
        <v>30</v>
      </c>
      <c r="J28" s="1507">
        <v>4</v>
      </c>
      <c r="K28" s="1507">
        <v>2</v>
      </c>
      <c r="L28" s="1508">
        <f t="shared" si="3"/>
        <v>6</v>
      </c>
      <c r="M28" s="1485"/>
      <c r="N28" s="1485"/>
      <c r="O28" s="1488">
        <f t="shared" si="2"/>
        <v>0</v>
      </c>
    </row>
    <row r="29" spans="1:15" s="542" customFormat="1" ht="22.8">
      <c r="A29" s="1232" t="s">
        <v>46</v>
      </c>
      <c r="B29" s="1248" t="s">
        <v>231</v>
      </c>
      <c r="C29" s="1485">
        <v>16</v>
      </c>
      <c r="D29" s="1501">
        <v>21</v>
      </c>
      <c r="E29" s="1502">
        <v>43</v>
      </c>
      <c r="F29" s="1509">
        <f t="shared" si="0"/>
        <v>64</v>
      </c>
      <c r="G29" s="1504">
        <v>21</v>
      </c>
      <c r="H29" s="1504">
        <v>43</v>
      </c>
      <c r="I29" s="1505">
        <f t="shared" si="1"/>
        <v>64</v>
      </c>
      <c r="J29" s="1507">
        <v>6</v>
      </c>
      <c r="K29" s="1507">
        <v>5</v>
      </c>
      <c r="L29" s="1508">
        <f t="shared" si="3"/>
        <v>11</v>
      </c>
      <c r="M29" s="1485">
        <v>1</v>
      </c>
      <c r="N29" s="1485">
        <v>1</v>
      </c>
      <c r="O29" s="1488">
        <f t="shared" si="2"/>
        <v>2</v>
      </c>
    </row>
    <row r="30" spans="1:15" s="542" customFormat="1" ht="22.8">
      <c r="A30" s="1232" t="s">
        <v>47</v>
      </c>
      <c r="B30" s="1248" t="s">
        <v>232</v>
      </c>
      <c r="C30" s="1485">
        <v>25</v>
      </c>
      <c r="D30" s="1501">
        <v>40</v>
      </c>
      <c r="E30" s="1502">
        <v>69</v>
      </c>
      <c r="F30" s="1509">
        <f t="shared" si="0"/>
        <v>109</v>
      </c>
      <c r="G30" s="1504">
        <v>40</v>
      </c>
      <c r="H30" s="1504">
        <v>69</v>
      </c>
      <c r="I30" s="1505">
        <f t="shared" si="1"/>
        <v>109</v>
      </c>
      <c r="J30" s="1507">
        <v>9</v>
      </c>
      <c r="K30" s="1507">
        <v>7</v>
      </c>
      <c r="L30" s="1508">
        <f t="shared" si="3"/>
        <v>16</v>
      </c>
      <c r="M30" s="1485">
        <v>1</v>
      </c>
      <c r="N30" s="1485">
        <v>2</v>
      </c>
      <c r="O30" s="1488">
        <f t="shared" si="2"/>
        <v>3</v>
      </c>
    </row>
    <row r="31" spans="1:15" s="542" customFormat="1" ht="13.8">
      <c r="A31" s="1232" t="s">
        <v>48</v>
      </c>
      <c r="B31" s="1233" t="s">
        <v>49</v>
      </c>
      <c r="C31" s="1485">
        <v>30</v>
      </c>
      <c r="D31" s="1501">
        <v>27</v>
      </c>
      <c r="E31" s="1502">
        <v>29</v>
      </c>
      <c r="F31" s="1509">
        <f t="shared" si="0"/>
        <v>56</v>
      </c>
      <c r="G31" s="1504">
        <v>27</v>
      </c>
      <c r="H31" s="1504">
        <v>29</v>
      </c>
      <c r="I31" s="1505">
        <f t="shared" si="1"/>
        <v>56</v>
      </c>
      <c r="J31" s="1507">
        <v>4</v>
      </c>
      <c r="K31" s="1507">
        <v>5</v>
      </c>
      <c r="L31" s="1508">
        <f t="shared" si="3"/>
        <v>9</v>
      </c>
      <c r="M31" s="1485">
        <v>0</v>
      </c>
      <c r="N31" s="1485">
        <v>2</v>
      </c>
      <c r="O31" s="1488">
        <f t="shared" si="2"/>
        <v>2</v>
      </c>
    </row>
    <row r="32" spans="1:15" s="542" customFormat="1" ht="13.8">
      <c r="A32" s="1232" t="s">
        <v>50</v>
      </c>
      <c r="B32" s="1233" t="s">
        <v>51</v>
      </c>
      <c r="C32" s="1485">
        <v>5</v>
      </c>
      <c r="D32" s="1501">
        <v>22</v>
      </c>
      <c r="E32" s="1502">
        <v>13</v>
      </c>
      <c r="F32" s="1509">
        <f t="shared" si="0"/>
        <v>35</v>
      </c>
      <c r="G32" s="1504">
        <v>22</v>
      </c>
      <c r="H32" s="1504">
        <v>13</v>
      </c>
      <c r="I32" s="1505">
        <f t="shared" si="1"/>
        <v>35</v>
      </c>
      <c r="J32" s="1507">
        <v>6</v>
      </c>
      <c r="K32" s="1507">
        <v>1</v>
      </c>
      <c r="L32" s="1508">
        <f t="shared" si="3"/>
        <v>7</v>
      </c>
      <c r="M32" s="1485"/>
      <c r="N32" s="1485"/>
      <c r="O32" s="1488">
        <f t="shared" si="2"/>
        <v>0</v>
      </c>
    </row>
    <row r="33" spans="1:15" s="542" customFormat="1" ht="13.8">
      <c r="A33" s="1232" t="s">
        <v>52</v>
      </c>
      <c r="B33" s="1233" t="s">
        <v>53</v>
      </c>
      <c r="C33" s="1485">
        <v>17</v>
      </c>
      <c r="D33" s="1501">
        <v>104</v>
      </c>
      <c r="E33" s="1502">
        <v>576</v>
      </c>
      <c r="F33" s="1509">
        <f t="shared" si="0"/>
        <v>680</v>
      </c>
      <c r="G33" s="1504">
        <v>104</v>
      </c>
      <c r="H33" s="1504">
        <v>576</v>
      </c>
      <c r="I33" s="1505">
        <f t="shared" si="1"/>
        <v>680</v>
      </c>
      <c r="J33" s="1507"/>
      <c r="K33" s="1507">
        <v>11</v>
      </c>
      <c r="L33" s="1508">
        <f t="shared" si="3"/>
        <v>11</v>
      </c>
      <c r="M33" s="1485">
        <v>0</v>
      </c>
      <c r="N33" s="1485">
        <v>2</v>
      </c>
      <c r="O33" s="1488">
        <f t="shared" si="2"/>
        <v>2</v>
      </c>
    </row>
    <row r="34" spans="1:15" s="542" customFormat="1" ht="13.8">
      <c r="A34" s="1232" t="s">
        <v>54</v>
      </c>
      <c r="B34" s="1233" t="s">
        <v>55</v>
      </c>
      <c r="C34" s="1485">
        <v>28</v>
      </c>
      <c r="D34" s="1501">
        <v>63</v>
      </c>
      <c r="E34" s="1502">
        <v>291</v>
      </c>
      <c r="F34" s="1509">
        <f t="shared" si="0"/>
        <v>354</v>
      </c>
      <c r="G34" s="1504">
        <v>63</v>
      </c>
      <c r="H34" s="1504">
        <v>291</v>
      </c>
      <c r="I34" s="1505">
        <f t="shared" si="1"/>
        <v>354</v>
      </c>
      <c r="J34" s="1507">
        <v>9</v>
      </c>
      <c r="K34" s="1507">
        <v>15</v>
      </c>
      <c r="L34" s="1508">
        <f t="shared" si="3"/>
        <v>24</v>
      </c>
      <c r="M34" s="1485"/>
      <c r="N34" s="1485"/>
      <c r="O34" s="1488">
        <f t="shared" si="2"/>
        <v>0</v>
      </c>
    </row>
    <row r="35" spans="1:15" s="542" customFormat="1" ht="13.8">
      <c r="A35" s="1232" t="s">
        <v>56</v>
      </c>
      <c r="B35" s="1233" t="s">
        <v>57</v>
      </c>
      <c r="C35" s="1485">
        <v>39</v>
      </c>
      <c r="D35" s="1501">
        <v>54</v>
      </c>
      <c r="E35" s="1502">
        <v>340</v>
      </c>
      <c r="F35" s="1509">
        <f t="shared" si="0"/>
        <v>394</v>
      </c>
      <c r="G35" s="1504">
        <v>54</v>
      </c>
      <c r="H35" s="1504">
        <v>340</v>
      </c>
      <c r="I35" s="1505">
        <f t="shared" si="1"/>
        <v>394</v>
      </c>
      <c r="J35" s="1507">
        <v>4</v>
      </c>
      <c r="K35" s="1507">
        <v>24</v>
      </c>
      <c r="L35" s="1508">
        <f t="shared" si="3"/>
        <v>28</v>
      </c>
      <c r="M35" s="1485">
        <v>0</v>
      </c>
      <c r="N35" s="1485">
        <v>2</v>
      </c>
      <c r="O35" s="1488">
        <f t="shared" si="2"/>
        <v>2</v>
      </c>
    </row>
    <row r="36" spans="1:15" s="542" customFormat="1" ht="13.8">
      <c r="A36" s="1232" t="s">
        <v>58</v>
      </c>
      <c r="B36" s="1233" t="s">
        <v>59</v>
      </c>
      <c r="C36" s="1485">
        <v>14</v>
      </c>
      <c r="D36" s="1501">
        <v>10</v>
      </c>
      <c r="E36" s="1502">
        <v>83</v>
      </c>
      <c r="F36" s="1509">
        <f t="shared" si="0"/>
        <v>93</v>
      </c>
      <c r="G36" s="1504">
        <v>16</v>
      </c>
      <c r="H36" s="1504">
        <v>101</v>
      </c>
      <c r="I36" s="1505">
        <f t="shared" si="1"/>
        <v>117</v>
      </c>
      <c r="J36" s="1507">
        <v>1</v>
      </c>
      <c r="K36" s="1507">
        <v>8</v>
      </c>
      <c r="L36" s="1508">
        <f t="shared" si="3"/>
        <v>9</v>
      </c>
      <c r="M36" s="1485"/>
      <c r="N36" s="1485"/>
      <c r="O36" s="1488">
        <f t="shared" si="2"/>
        <v>0</v>
      </c>
    </row>
    <row r="37" spans="1:15" s="542" customFormat="1" ht="13.8">
      <c r="A37" s="1232" t="s">
        <v>60</v>
      </c>
      <c r="B37" s="1233" t="s">
        <v>61</v>
      </c>
      <c r="C37" s="1485">
        <v>4</v>
      </c>
      <c r="D37" s="1501">
        <v>3</v>
      </c>
      <c r="E37" s="1502">
        <v>25</v>
      </c>
      <c r="F37" s="1509">
        <f t="shared" si="0"/>
        <v>28</v>
      </c>
      <c r="G37" s="1504">
        <v>3</v>
      </c>
      <c r="H37" s="1504">
        <v>30</v>
      </c>
      <c r="I37" s="1505">
        <f t="shared" si="1"/>
        <v>33</v>
      </c>
      <c r="J37" s="1507">
        <v>2</v>
      </c>
      <c r="K37" s="1507">
        <v>4</v>
      </c>
      <c r="L37" s="1508">
        <f t="shared" si="3"/>
        <v>6</v>
      </c>
      <c r="M37" s="1485"/>
      <c r="N37" s="1485"/>
      <c r="O37" s="1488">
        <f t="shared" si="2"/>
        <v>0</v>
      </c>
    </row>
    <row r="38" spans="1:15" s="542" customFormat="1" ht="13.8">
      <c r="A38" s="1232" t="s">
        <v>62</v>
      </c>
      <c r="B38" s="1233" t="s">
        <v>63</v>
      </c>
      <c r="C38" s="1485">
        <v>7</v>
      </c>
      <c r="D38" s="1501">
        <v>3</v>
      </c>
      <c r="E38" s="1502">
        <v>27</v>
      </c>
      <c r="F38" s="1509">
        <f t="shared" si="0"/>
        <v>30</v>
      </c>
      <c r="G38" s="1504">
        <v>3</v>
      </c>
      <c r="H38" s="1504">
        <v>27</v>
      </c>
      <c r="I38" s="1505">
        <f t="shared" si="1"/>
        <v>30</v>
      </c>
      <c r="J38" s="1507">
        <v>2</v>
      </c>
      <c r="K38" s="1507">
        <v>5</v>
      </c>
      <c r="L38" s="1508">
        <f t="shared" si="3"/>
        <v>7</v>
      </c>
      <c r="M38" s="1485"/>
      <c r="N38" s="1485"/>
      <c r="O38" s="1488">
        <f t="shared" si="2"/>
        <v>0</v>
      </c>
    </row>
    <row r="39" spans="1:15" s="542" customFormat="1" ht="13.8">
      <c r="A39" s="1232" t="s">
        <v>64</v>
      </c>
      <c r="B39" s="1233" t="s">
        <v>65</v>
      </c>
      <c r="C39" s="1485">
        <v>11</v>
      </c>
      <c r="D39" s="1501">
        <v>18</v>
      </c>
      <c r="E39" s="1502">
        <v>44</v>
      </c>
      <c r="F39" s="1509">
        <f t="shared" si="0"/>
        <v>62</v>
      </c>
      <c r="G39" s="1504">
        <v>19</v>
      </c>
      <c r="H39" s="1504">
        <v>45</v>
      </c>
      <c r="I39" s="1505">
        <f t="shared" si="1"/>
        <v>64</v>
      </c>
      <c r="J39" s="1507">
        <v>5</v>
      </c>
      <c r="K39" s="1507">
        <v>7</v>
      </c>
      <c r="L39" s="1508">
        <f t="shared" si="3"/>
        <v>12</v>
      </c>
      <c r="M39" s="1485"/>
      <c r="N39" s="1485"/>
      <c r="O39" s="1488">
        <f t="shared" si="2"/>
        <v>0</v>
      </c>
    </row>
    <row r="40" spans="1:15" s="542" customFormat="1" ht="13.8">
      <c r="A40" s="1232" t="s">
        <v>66</v>
      </c>
      <c r="B40" s="1233" t="s">
        <v>67</v>
      </c>
      <c r="C40" s="1485">
        <v>9</v>
      </c>
      <c r="D40" s="1501">
        <v>10</v>
      </c>
      <c r="E40" s="1502">
        <v>42</v>
      </c>
      <c r="F40" s="1509">
        <f t="shared" si="0"/>
        <v>52</v>
      </c>
      <c r="G40" s="1504">
        <v>10</v>
      </c>
      <c r="H40" s="1504">
        <v>42</v>
      </c>
      <c r="I40" s="1505">
        <f t="shared" si="1"/>
        <v>52</v>
      </c>
      <c r="J40" s="1507">
        <v>2</v>
      </c>
      <c r="K40" s="1507">
        <v>9</v>
      </c>
      <c r="L40" s="1508">
        <f t="shared" si="3"/>
        <v>11</v>
      </c>
      <c r="M40" s="1485"/>
      <c r="N40" s="1485"/>
      <c r="O40" s="1488">
        <f t="shared" si="2"/>
        <v>0</v>
      </c>
    </row>
    <row r="41" spans="1:15" s="542" customFormat="1" ht="13.8">
      <c r="A41" s="1232" t="s">
        <v>68</v>
      </c>
      <c r="B41" s="1233" t="s">
        <v>69</v>
      </c>
      <c r="C41" s="1485">
        <v>10</v>
      </c>
      <c r="D41" s="1501">
        <v>11</v>
      </c>
      <c r="E41" s="1502">
        <v>21</v>
      </c>
      <c r="F41" s="1509">
        <f t="shared" si="0"/>
        <v>32</v>
      </c>
      <c r="G41" s="1504">
        <v>11</v>
      </c>
      <c r="H41" s="1504">
        <v>23</v>
      </c>
      <c r="I41" s="1505">
        <f t="shared" si="1"/>
        <v>34</v>
      </c>
      <c r="J41" s="1507">
        <v>3</v>
      </c>
      <c r="K41" s="1507">
        <v>6</v>
      </c>
      <c r="L41" s="1508">
        <f t="shared" si="3"/>
        <v>9</v>
      </c>
      <c r="M41" s="1485"/>
      <c r="N41" s="1485"/>
      <c r="O41" s="1488">
        <f t="shared" si="2"/>
        <v>0</v>
      </c>
    </row>
    <row r="42" spans="1:15" s="542" customFormat="1" ht="13.8">
      <c r="A42" s="1232" t="s">
        <v>70</v>
      </c>
      <c r="B42" s="1233" t="s">
        <v>71</v>
      </c>
      <c r="C42" s="1485">
        <v>1</v>
      </c>
      <c r="D42" s="1501">
        <v>5</v>
      </c>
      <c r="E42" s="1502">
        <v>45</v>
      </c>
      <c r="F42" s="1509">
        <f t="shared" si="0"/>
        <v>50</v>
      </c>
      <c r="G42" s="1504">
        <v>5</v>
      </c>
      <c r="H42" s="1504">
        <v>45</v>
      </c>
      <c r="I42" s="1505">
        <f t="shared" si="1"/>
        <v>50</v>
      </c>
      <c r="J42" s="1507"/>
      <c r="K42" s="1507">
        <v>5</v>
      </c>
      <c r="L42" s="1508">
        <f t="shared" si="3"/>
        <v>5</v>
      </c>
      <c r="M42" s="1485"/>
      <c r="N42" s="1485"/>
      <c r="O42" s="1488">
        <f t="shared" si="2"/>
        <v>0</v>
      </c>
    </row>
    <row r="43" spans="1:15" s="542" customFormat="1" ht="21.75" customHeight="1">
      <c r="A43" s="1232" t="s">
        <v>72</v>
      </c>
      <c r="B43" s="1233" t="s">
        <v>73</v>
      </c>
      <c r="C43" s="1485">
        <v>16</v>
      </c>
      <c r="D43" s="1501">
        <v>7</v>
      </c>
      <c r="E43" s="1502">
        <v>20</v>
      </c>
      <c r="F43" s="1509">
        <f t="shared" si="0"/>
        <v>27</v>
      </c>
      <c r="G43" s="1504">
        <v>8</v>
      </c>
      <c r="H43" s="1504">
        <v>23</v>
      </c>
      <c r="I43" s="1505">
        <f t="shared" si="1"/>
        <v>31</v>
      </c>
      <c r="J43" s="1507">
        <v>1</v>
      </c>
      <c r="K43" s="1507">
        <v>4</v>
      </c>
      <c r="L43" s="1508">
        <f t="shared" si="3"/>
        <v>5</v>
      </c>
      <c r="M43" s="1485">
        <v>0</v>
      </c>
      <c r="N43" s="1485">
        <v>2</v>
      </c>
      <c r="O43" s="1488">
        <f t="shared" si="2"/>
        <v>2</v>
      </c>
    </row>
    <row r="44" spans="1:15" s="542" customFormat="1" ht="24" customHeight="1">
      <c r="A44" s="1232" t="s">
        <v>74</v>
      </c>
      <c r="B44" s="1248" t="s">
        <v>75</v>
      </c>
      <c r="C44" s="1485">
        <v>5</v>
      </c>
      <c r="D44" s="1501">
        <v>3</v>
      </c>
      <c r="E44" s="1502">
        <v>14</v>
      </c>
      <c r="F44" s="1509">
        <f t="shared" si="0"/>
        <v>17</v>
      </c>
      <c r="G44" s="1504">
        <v>3</v>
      </c>
      <c r="H44" s="1504">
        <v>15</v>
      </c>
      <c r="I44" s="1505">
        <f t="shared" si="1"/>
        <v>18</v>
      </c>
      <c r="J44" s="1507">
        <v>1</v>
      </c>
      <c r="K44" s="1507">
        <v>3</v>
      </c>
      <c r="L44" s="1508">
        <f t="shared" si="3"/>
        <v>4</v>
      </c>
      <c r="M44" s="1485"/>
      <c r="N44" s="1485"/>
      <c r="O44" s="1488">
        <f t="shared" si="2"/>
        <v>0</v>
      </c>
    </row>
    <row r="45" spans="1:15" s="542" customFormat="1" ht="13.8">
      <c r="A45" s="1232" t="s">
        <v>76</v>
      </c>
      <c r="B45" s="1249" t="s">
        <v>77</v>
      </c>
      <c r="C45" s="1485">
        <v>2</v>
      </c>
      <c r="D45" s="1501">
        <v>1</v>
      </c>
      <c r="E45" s="1502">
        <v>9</v>
      </c>
      <c r="F45" s="1509">
        <f t="shared" si="0"/>
        <v>10</v>
      </c>
      <c r="G45" s="1504">
        <v>1</v>
      </c>
      <c r="H45" s="1504">
        <v>9</v>
      </c>
      <c r="I45" s="1505">
        <f t="shared" si="1"/>
        <v>10</v>
      </c>
      <c r="J45" s="1507"/>
      <c r="K45" s="1507">
        <v>2</v>
      </c>
      <c r="L45" s="1508">
        <f t="shared" si="3"/>
        <v>2</v>
      </c>
      <c r="M45" s="1485"/>
      <c r="N45" s="1485"/>
      <c r="O45" s="1488">
        <f t="shared" si="2"/>
        <v>0</v>
      </c>
    </row>
    <row r="46" spans="1:15" s="542" customFormat="1" ht="13.8">
      <c r="A46" s="1232" t="s">
        <v>78</v>
      </c>
      <c r="B46" s="1233" t="s">
        <v>79</v>
      </c>
      <c r="C46" s="1485">
        <v>32</v>
      </c>
      <c r="D46" s="1501">
        <v>13</v>
      </c>
      <c r="E46" s="1502">
        <v>170</v>
      </c>
      <c r="F46" s="1509">
        <f t="shared" si="0"/>
        <v>183</v>
      </c>
      <c r="G46" s="1504">
        <v>13</v>
      </c>
      <c r="H46" s="1504">
        <v>170</v>
      </c>
      <c r="I46" s="1505">
        <f t="shared" si="1"/>
        <v>183</v>
      </c>
      <c r="J46" s="1507">
        <v>3</v>
      </c>
      <c r="K46" s="1507">
        <v>27</v>
      </c>
      <c r="L46" s="1508">
        <f t="shared" si="3"/>
        <v>30</v>
      </c>
      <c r="M46" s="1485">
        <v>0</v>
      </c>
      <c r="N46" s="1485">
        <v>4</v>
      </c>
      <c r="O46" s="1488">
        <f t="shared" si="2"/>
        <v>4</v>
      </c>
    </row>
    <row r="47" spans="1:15" s="542" customFormat="1" ht="13.8">
      <c r="A47" s="1232" t="s">
        <v>80</v>
      </c>
      <c r="B47" s="1233" t="s">
        <v>81</v>
      </c>
      <c r="C47" s="1485">
        <v>14</v>
      </c>
      <c r="D47" s="1501">
        <v>15</v>
      </c>
      <c r="E47" s="1502">
        <v>87</v>
      </c>
      <c r="F47" s="1509">
        <f t="shared" si="0"/>
        <v>102</v>
      </c>
      <c r="G47" s="1504">
        <v>15</v>
      </c>
      <c r="H47" s="1504">
        <v>87</v>
      </c>
      <c r="I47" s="1505">
        <f t="shared" si="1"/>
        <v>102</v>
      </c>
      <c r="J47" s="1507">
        <v>2</v>
      </c>
      <c r="K47" s="1507">
        <v>14</v>
      </c>
      <c r="L47" s="1508">
        <f t="shared" si="3"/>
        <v>16</v>
      </c>
      <c r="M47" s="1485">
        <v>0</v>
      </c>
      <c r="N47" s="1485">
        <v>1</v>
      </c>
      <c r="O47" s="1488">
        <f t="shared" si="2"/>
        <v>1</v>
      </c>
    </row>
    <row r="48" spans="1:15" s="542" customFormat="1" ht="13.8">
      <c r="A48" s="1232" t="s">
        <v>82</v>
      </c>
      <c r="B48" s="1233" t="s">
        <v>83</v>
      </c>
      <c r="C48" s="1485">
        <v>18</v>
      </c>
      <c r="D48" s="1501">
        <v>10</v>
      </c>
      <c r="E48" s="1502">
        <v>61</v>
      </c>
      <c r="F48" s="1509">
        <f t="shared" si="0"/>
        <v>71</v>
      </c>
      <c r="G48" s="1504">
        <v>10</v>
      </c>
      <c r="H48" s="1504">
        <v>61</v>
      </c>
      <c r="I48" s="1505">
        <f t="shared" si="1"/>
        <v>71</v>
      </c>
      <c r="J48" s="1507">
        <v>3</v>
      </c>
      <c r="K48" s="1507">
        <v>12</v>
      </c>
      <c r="L48" s="1508">
        <f t="shared" si="3"/>
        <v>15</v>
      </c>
      <c r="M48" s="1485"/>
      <c r="N48" s="1485"/>
      <c r="O48" s="1488">
        <f t="shared" si="2"/>
        <v>0</v>
      </c>
    </row>
    <row r="49" spans="1:163" s="542" customFormat="1" ht="13.8">
      <c r="A49" s="1232" t="s">
        <v>84</v>
      </c>
      <c r="B49" s="1233" t="s">
        <v>355</v>
      </c>
      <c r="C49" s="1485">
        <v>19</v>
      </c>
      <c r="D49" s="1501">
        <v>4</v>
      </c>
      <c r="E49" s="1502">
        <v>73</v>
      </c>
      <c r="F49" s="1509">
        <f t="shared" si="0"/>
        <v>77</v>
      </c>
      <c r="G49" s="1504">
        <v>4</v>
      </c>
      <c r="H49" s="1504">
        <v>73</v>
      </c>
      <c r="I49" s="1505">
        <f t="shared" si="1"/>
        <v>77</v>
      </c>
      <c r="J49" s="1507">
        <v>1</v>
      </c>
      <c r="K49" s="1507">
        <v>13</v>
      </c>
      <c r="L49" s="1508">
        <f t="shared" si="3"/>
        <v>14</v>
      </c>
      <c r="M49" s="1485"/>
      <c r="N49" s="1485"/>
      <c r="O49" s="1488">
        <f t="shared" si="2"/>
        <v>0</v>
      </c>
    </row>
    <row r="50" spans="1:163" s="542" customFormat="1" ht="13.8">
      <c r="A50" s="1232" t="s">
        <v>85</v>
      </c>
      <c r="B50" s="1233" t="s">
        <v>86</v>
      </c>
      <c r="C50" s="1485">
        <v>10</v>
      </c>
      <c r="D50" s="1501">
        <v>22</v>
      </c>
      <c r="E50" s="1502">
        <v>41</v>
      </c>
      <c r="F50" s="1509">
        <f t="shared" si="0"/>
        <v>63</v>
      </c>
      <c r="G50" s="1504">
        <v>22</v>
      </c>
      <c r="H50" s="1504">
        <v>41</v>
      </c>
      <c r="I50" s="1505">
        <f t="shared" si="1"/>
        <v>63</v>
      </c>
      <c r="J50" s="1507">
        <v>7</v>
      </c>
      <c r="K50" s="1507">
        <v>10</v>
      </c>
      <c r="L50" s="1508">
        <f t="shared" si="3"/>
        <v>17</v>
      </c>
      <c r="M50" s="1485"/>
      <c r="N50" s="1485"/>
      <c r="O50" s="1488">
        <f t="shared" si="2"/>
        <v>0</v>
      </c>
    </row>
    <row r="51" spans="1:163" s="542" customFormat="1" ht="13.8">
      <c r="A51" s="1232" t="s">
        <v>87</v>
      </c>
      <c r="B51" s="1233" t="s">
        <v>88</v>
      </c>
      <c r="C51" s="1485">
        <v>10</v>
      </c>
      <c r="D51" s="1501">
        <v>15</v>
      </c>
      <c r="E51" s="1502">
        <v>30</v>
      </c>
      <c r="F51" s="1509">
        <f t="shared" si="0"/>
        <v>45</v>
      </c>
      <c r="G51" s="1504">
        <v>15</v>
      </c>
      <c r="H51" s="1504">
        <v>31</v>
      </c>
      <c r="I51" s="1505">
        <f t="shared" si="1"/>
        <v>46</v>
      </c>
      <c r="J51" s="1507">
        <v>4</v>
      </c>
      <c r="K51" s="1507">
        <v>3</v>
      </c>
      <c r="L51" s="1508">
        <f t="shared" si="3"/>
        <v>7</v>
      </c>
      <c r="M51" s="1485"/>
      <c r="N51" s="1485"/>
      <c r="O51" s="1488">
        <f t="shared" si="2"/>
        <v>0</v>
      </c>
    </row>
    <row r="52" spans="1:163" s="542" customFormat="1" ht="13.8">
      <c r="A52" s="1232" t="s">
        <v>89</v>
      </c>
      <c r="B52" s="1233" t="s">
        <v>90</v>
      </c>
      <c r="C52" s="1485">
        <v>6</v>
      </c>
      <c r="D52" s="1501">
        <v>2</v>
      </c>
      <c r="E52" s="1502">
        <v>13</v>
      </c>
      <c r="F52" s="1509">
        <f t="shared" si="0"/>
        <v>15</v>
      </c>
      <c r="G52" s="1504">
        <v>2</v>
      </c>
      <c r="H52" s="1504">
        <v>13</v>
      </c>
      <c r="I52" s="1505">
        <f t="shared" si="1"/>
        <v>15</v>
      </c>
      <c r="J52" s="1507">
        <v>1</v>
      </c>
      <c r="K52" s="1507">
        <v>4</v>
      </c>
      <c r="L52" s="1508">
        <f t="shared" si="3"/>
        <v>5</v>
      </c>
      <c r="M52" s="1485"/>
      <c r="N52" s="1485"/>
      <c r="O52" s="1488">
        <f t="shared" si="2"/>
        <v>0</v>
      </c>
    </row>
    <row r="53" spans="1:163" s="542" customFormat="1" ht="13.8">
      <c r="A53" s="1232" t="s">
        <v>91</v>
      </c>
      <c r="B53" s="1233" t="s">
        <v>92</v>
      </c>
      <c r="C53" s="1485">
        <v>6</v>
      </c>
      <c r="D53" s="1501">
        <v>12</v>
      </c>
      <c r="E53" s="1502">
        <v>18</v>
      </c>
      <c r="F53" s="1509">
        <f t="shared" si="0"/>
        <v>30</v>
      </c>
      <c r="G53" s="1504">
        <v>12</v>
      </c>
      <c r="H53" s="1504">
        <v>18</v>
      </c>
      <c r="I53" s="1505">
        <f t="shared" si="1"/>
        <v>30</v>
      </c>
      <c r="J53" s="1507">
        <v>3</v>
      </c>
      <c r="K53" s="1507">
        <v>3</v>
      </c>
      <c r="L53" s="1508">
        <f t="shared" si="3"/>
        <v>6</v>
      </c>
      <c r="M53" s="1485">
        <v>0</v>
      </c>
      <c r="N53" s="1485">
        <v>1</v>
      </c>
      <c r="O53" s="1488">
        <f t="shared" si="2"/>
        <v>1</v>
      </c>
    </row>
    <row r="54" spans="1:163" s="542" customFormat="1" ht="13.8">
      <c r="A54" s="1232" t="s">
        <v>93</v>
      </c>
      <c r="B54" s="1233" t="s">
        <v>94</v>
      </c>
      <c r="C54" s="1485">
        <v>6</v>
      </c>
      <c r="D54" s="1501"/>
      <c r="E54" s="1502">
        <v>2</v>
      </c>
      <c r="F54" s="1509">
        <f t="shared" si="0"/>
        <v>2</v>
      </c>
      <c r="G54" s="1504"/>
      <c r="H54" s="1504">
        <v>3</v>
      </c>
      <c r="I54" s="1505">
        <f t="shared" si="1"/>
        <v>3</v>
      </c>
      <c r="J54" s="1507"/>
      <c r="K54" s="1507">
        <v>2</v>
      </c>
      <c r="L54" s="1508">
        <f t="shared" si="3"/>
        <v>2</v>
      </c>
      <c r="M54" s="1485"/>
      <c r="N54" s="1485"/>
      <c r="O54" s="1488">
        <f t="shared" si="2"/>
        <v>0</v>
      </c>
    </row>
    <row r="55" spans="1:163" s="542" customFormat="1" ht="13.8">
      <c r="A55" s="1232" t="s">
        <v>95</v>
      </c>
      <c r="B55" s="1233" t="s">
        <v>96</v>
      </c>
      <c r="C55" s="1485">
        <v>3</v>
      </c>
      <c r="D55" s="1501">
        <v>3</v>
      </c>
      <c r="E55" s="1502">
        <v>16</v>
      </c>
      <c r="F55" s="1509">
        <f t="shared" si="0"/>
        <v>19</v>
      </c>
      <c r="G55" s="1504">
        <v>3</v>
      </c>
      <c r="H55" s="1504">
        <v>16</v>
      </c>
      <c r="I55" s="1505">
        <f t="shared" si="1"/>
        <v>19</v>
      </c>
      <c r="J55" s="1507">
        <v>1</v>
      </c>
      <c r="K55" s="1507">
        <v>2</v>
      </c>
      <c r="L55" s="1508">
        <f t="shared" si="3"/>
        <v>3</v>
      </c>
      <c r="M55" s="1485"/>
      <c r="N55" s="1485"/>
      <c r="O55" s="1488">
        <f t="shared" si="2"/>
        <v>0</v>
      </c>
    </row>
    <row r="56" spans="1:163" s="542" customFormat="1" ht="13.8">
      <c r="A56" s="1232" t="s">
        <v>97</v>
      </c>
      <c r="B56" s="1233" t="s">
        <v>98</v>
      </c>
      <c r="C56" s="1485">
        <v>27</v>
      </c>
      <c r="D56" s="1501">
        <v>31</v>
      </c>
      <c r="E56" s="1502">
        <v>36</v>
      </c>
      <c r="F56" s="1509">
        <f t="shared" si="0"/>
        <v>67</v>
      </c>
      <c r="G56" s="1504">
        <v>31</v>
      </c>
      <c r="H56" s="1504">
        <v>36</v>
      </c>
      <c r="I56" s="1505">
        <f t="shared" si="1"/>
        <v>67</v>
      </c>
      <c r="J56" s="1507">
        <v>6</v>
      </c>
      <c r="K56" s="1507">
        <v>9</v>
      </c>
      <c r="L56" s="1508">
        <f t="shared" si="3"/>
        <v>15</v>
      </c>
      <c r="M56" s="1485">
        <v>2</v>
      </c>
      <c r="N56" s="1485">
        <v>0</v>
      </c>
      <c r="O56" s="1488">
        <f t="shared" si="2"/>
        <v>2</v>
      </c>
    </row>
    <row r="57" spans="1:163" s="542" customFormat="1" ht="13.8">
      <c r="A57" s="1232" t="s">
        <v>99</v>
      </c>
      <c r="B57" s="1233" t="s">
        <v>100</v>
      </c>
      <c r="C57" s="1485">
        <v>8</v>
      </c>
      <c r="D57" s="1501">
        <v>55</v>
      </c>
      <c r="E57" s="1502">
        <v>48</v>
      </c>
      <c r="F57" s="1509">
        <f t="shared" si="0"/>
        <v>103</v>
      </c>
      <c r="G57" s="1504">
        <v>55</v>
      </c>
      <c r="H57" s="1504">
        <v>48</v>
      </c>
      <c r="I57" s="1505">
        <f t="shared" si="1"/>
        <v>103</v>
      </c>
      <c r="J57" s="1507">
        <v>7</v>
      </c>
      <c r="K57" s="1507">
        <v>7</v>
      </c>
      <c r="L57" s="1508">
        <f t="shared" si="3"/>
        <v>14</v>
      </c>
      <c r="M57" s="1485">
        <v>0</v>
      </c>
      <c r="N57" s="1485">
        <v>1</v>
      </c>
      <c r="O57" s="1488">
        <f t="shared" si="2"/>
        <v>1</v>
      </c>
    </row>
    <row r="58" spans="1:163" s="542" customFormat="1" ht="13.8">
      <c r="A58" s="1232">
        <v>72</v>
      </c>
      <c r="B58" s="1233" t="s">
        <v>117</v>
      </c>
      <c r="C58" s="1485">
        <v>1</v>
      </c>
      <c r="D58" s="1501"/>
      <c r="E58" s="1502"/>
      <c r="F58" s="1509">
        <f t="shared" si="0"/>
        <v>0</v>
      </c>
      <c r="G58" s="1504"/>
      <c r="H58" s="1504"/>
      <c r="I58" s="1505">
        <f t="shared" si="1"/>
        <v>0</v>
      </c>
      <c r="J58" s="1507"/>
      <c r="K58" s="1507"/>
      <c r="L58" s="1508">
        <f t="shared" si="3"/>
        <v>0</v>
      </c>
      <c r="M58" s="1485"/>
      <c r="N58" s="1485"/>
      <c r="O58" s="1488">
        <f t="shared" si="2"/>
        <v>0</v>
      </c>
    </row>
    <row r="59" spans="1:163" s="542" customFormat="1" ht="13.8">
      <c r="A59" s="1232" t="s">
        <v>101</v>
      </c>
      <c r="B59" s="1233" t="s">
        <v>102</v>
      </c>
      <c r="C59" s="1485">
        <v>2</v>
      </c>
      <c r="D59" s="1501"/>
      <c r="E59" s="1502"/>
      <c r="F59" s="1509">
        <f t="shared" si="0"/>
        <v>0</v>
      </c>
      <c r="G59" s="1504"/>
      <c r="H59" s="1504">
        <v>28</v>
      </c>
      <c r="I59" s="1505">
        <f t="shared" si="1"/>
        <v>28</v>
      </c>
      <c r="J59" s="1507"/>
      <c r="K59" s="1507"/>
      <c r="L59" s="1508">
        <f t="shared" si="3"/>
        <v>0</v>
      </c>
      <c r="M59" s="1485"/>
      <c r="N59" s="1485"/>
      <c r="O59" s="1488">
        <f t="shared" si="2"/>
        <v>0</v>
      </c>
    </row>
    <row r="60" spans="1:163" s="542" customFormat="1" ht="13.8">
      <c r="A60" s="1232" t="s">
        <v>103</v>
      </c>
      <c r="B60" s="1233" t="s">
        <v>104</v>
      </c>
      <c r="C60" s="1485">
        <v>5</v>
      </c>
      <c r="D60" s="1501">
        <v>7</v>
      </c>
      <c r="E60" s="1502">
        <v>28</v>
      </c>
      <c r="F60" s="1509">
        <f t="shared" si="0"/>
        <v>35</v>
      </c>
      <c r="G60" s="1504">
        <v>7</v>
      </c>
      <c r="H60" s="1504">
        <v>2</v>
      </c>
      <c r="I60" s="1505">
        <f t="shared" si="1"/>
        <v>9</v>
      </c>
      <c r="J60" s="1507">
        <v>1</v>
      </c>
      <c r="K60" s="1507">
        <v>8</v>
      </c>
      <c r="L60" s="1508">
        <f t="shared" si="3"/>
        <v>9</v>
      </c>
      <c r="M60" s="1485">
        <v>0</v>
      </c>
      <c r="N60" s="1485">
        <v>1</v>
      </c>
      <c r="O60" s="1488">
        <f t="shared" si="2"/>
        <v>1</v>
      </c>
    </row>
    <row r="61" spans="1:163" s="542" customFormat="1" ht="13.8">
      <c r="A61" s="1232">
        <v>76</v>
      </c>
      <c r="B61" s="1233" t="s">
        <v>200</v>
      </c>
      <c r="C61" s="1485">
        <v>1</v>
      </c>
      <c r="D61" s="1501"/>
      <c r="E61" s="1502"/>
      <c r="F61" s="1509">
        <f t="shared" si="0"/>
        <v>0</v>
      </c>
      <c r="G61" s="1504"/>
      <c r="H61" s="1504">
        <v>6</v>
      </c>
      <c r="I61" s="1505">
        <f t="shared" si="1"/>
        <v>6</v>
      </c>
      <c r="J61" s="1507"/>
      <c r="K61" s="1507"/>
      <c r="L61" s="1508">
        <f t="shared" si="3"/>
        <v>0</v>
      </c>
      <c r="M61" s="1485"/>
      <c r="N61" s="1485"/>
      <c r="O61" s="1488">
        <f t="shared" si="2"/>
        <v>0</v>
      </c>
    </row>
    <row r="62" spans="1:163" s="542" customFormat="1" ht="13.8">
      <c r="A62" s="1232" t="s">
        <v>517</v>
      </c>
      <c r="B62" s="1233" t="s">
        <v>518</v>
      </c>
      <c r="C62" s="1485">
        <v>6</v>
      </c>
      <c r="D62" s="1501">
        <v>2</v>
      </c>
      <c r="E62" s="1502">
        <v>2</v>
      </c>
      <c r="F62" s="1509">
        <f t="shared" si="0"/>
        <v>4</v>
      </c>
      <c r="G62" s="1504">
        <v>2</v>
      </c>
      <c r="H62" s="1504">
        <v>15</v>
      </c>
      <c r="I62" s="1505">
        <f t="shared" si="1"/>
        <v>17</v>
      </c>
      <c r="J62" s="1507">
        <v>1</v>
      </c>
      <c r="K62" s="1507"/>
      <c r="L62" s="1508">
        <f t="shared" si="3"/>
        <v>1</v>
      </c>
      <c r="M62" s="1485">
        <v>0</v>
      </c>
      <c r="N62" s="1485">
        <v>1</v>
      </c>
      <c r="O62" s="1488">
        <f t="shared" si="2"/>
        <v>1</v>
      </c>
    </row>
    <row r="63" spans="1:163" s="542" customFormat="1" ht="13.8">
      <c r="A63" s="1232" t="s">
        <v>519</v>
      </c>
      <c r="B63" s="1233" t="s">
        <v>520</v>
      </c>
      <c r="C63" s="1485">
        <v>6</v>
      </c>
      <c r="D63" s="1501">
        <v>6</v>
      </c>
      <c r="E63" s="1502">
        <v>6</v>
      </c>
      <c r="F63" s="1509">
        <f t="shared" si="0"/>
        <v>12</v>
      </c>
      <c r="G63" s="1504">
        <v>6</v>
      </c>
      <c r="H63" s="1504">
        <v>6</v>
      </c>
      <c r="I63" s="1505">
        <f t="shared" si="1"/>
        <v>12</v>
      </c>
      <c r="J63" s="1507">
        <v>4</v>
      </c>
      <c r="K63" s="1507">
        <v>5</v>
      </c>
      <c r="L63" s="1508">
        <f>SUM(J63:K63)</f>
        <v>9</v>
      </c>
      <c r="M63" s="1485"/>
      <c r="N63" s="1485"/>
      <c r="O63" s="1488">
        <f t="shared" si="2"/>
        <v>0</v>
      </c>
    </row>
    <row r="64" spans="1:163" ht="13.8">
      <c r="A64" s="1232" t="s">
        <v>521</v>
      </c>
      <c r="B64" s="1233" t="s">
        <v>522</v>
      </c>
      <c r="C64" s="1491">
        <v>8</v>
      </c>
      <c r="D64" s="1510">
        <v>4</v>
      </c>
      <c r="E64" s="1511">
        <v>15</v>
      </c>
      <c r="F64" s="1512">
        <f t="shared" si="0"/>
        <v>19</v>
      </c>
      <c r="G64" s="1513">
        <v>4</v>
      </c>
      <c r="H64" s="1513">
        <v>4</v>
      </c>
      <c r="I64" s="1514">
        <f t="shared" si="1"/>
        <v>8</v>
      </c>
      <c r="J64" s="1515">
        <v>2</v>
      </c>
      <c r="K64" s="1515">
        <v>5</v>
      </c>
      <c r="L64" s="1516">
        <f>SUM(J64:K64)</f>
        <v>7</v>
      </c>
      <c r="M64" s="1491"/>
      <c r="N64" s="1491"/>
      <c r="O64" s="1492">
        <f t="shared" si="2"/>
        <v>0</v>
      </c>
      <c r="P64" s="542"/>
      <c r="Q64" s="542"/>
      <c r="R64" s="542"/>
      <c r="S64" s="542"/>
      <c r="T64" s="542"/>
      <c r="U64" s="542"/>
      <c r="V64" s="542"/>
      <c r="W64" s="542"/>
      <c r="X64" s="542"/>
      <c r="Y64" s="542"/>
      <c r="Z64" s="542"/>
      <c r="AA64" s="542"/>
      <c r="AB64" s="542"/>
      <c r="AC64" s="542"/>
      <c r="AD64" s="542"/>
      <c r="AE64" s="542"/>
      <c r="AF64" s="542"/>
      <c r="AG64" s="542"/>
      <c r="AH64" s="542"/>
      <c r="AI64" s="542"/>
      <c r="AJ64" s="542"/>
      <c r="AK64" s="542"/>
      <c r="AL64" s="542"/>
      <c r="AM64" s="542"/>
      <c r="AN64" s="542"/>
      <c r="AO64" s="542"/>
      <c r="AP64" s="542"/>
      <c r="AQ64" s="542"/>
      <c r="AR64" s="542"/>
      <c r="AS64" s="542"/>
      <c r="AT64" s="542"/>
      <c r="AU64" s="542"/>
      <c r="AV64" s="542"/>
      <c r="AW64" s="542"/>
      <c r="AX64" s="542"/>
      <c r="AY64" s="542"/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542"/>
      <c r="BM64" s="542"/>
      <c r="BN64" s="542"/>
      <c r="BO64" s="542"/>
      <c r="BP64" s="542"/>
      <c r="BQ64" s="542"/>
      <c r="BR64" s="542"/>
      <c r="BS64" s="542"/>
      <c r="BT64" s="542"/>
      <c r="BU64" s="542"/>
      <c r="BV64" s="542"/>
      <c r="BW64" s="542"/>
      <c r="BX64" s="542"/>
      <c r="BY64" s="542"/>
      <c r="BZ64" s="542"/>
      <c r="CA64" s="542"/>
      <c r="CB64" s="542"/>
      <c r="CC64" s="542"/>
      <c r="CD64" s="542"/>
      <c r="CE64" s="542"/>
      <c r="CF64" s="542"/>
      <c r="CG64" s="542"/>
      <c r="CH64" s="542"/>
      <c r="CI64" s="542"/>
      <c r="CJ64" s="542"/>
      <c r="CK64" s="542"/>
      <c r="CL64" s="542"/>
      <c r="CM64" s="542"/>
      <c r="CN64" s="542"/>
      <c r="CO64" s="542"/>
      <c r="CP64" s="542"/>
      <c r="CQ64" s="542"/>
      <c r="CR64" s="542"/>
      <c r="CS64" s="542"/>
      <c r="CT64" s="542"/>
      <c r="CU64" s="542"/>
      <c r="CV64" s="542"/>
      <c r="CW64" s="542"/>
      <c r="CX64" s="542"/>
      <c r="CY64" s="542"/>
      <c r="CZ64" s="542"/>
      <c r="DA64" s="542"/>
      <c r="DB64" s="542"/>
      <c r="DC64" s="542"/>
      <c r="DD64" s="542"/>
      <c r="DE64" s="542"/>
      <c r="DF64" s="542"/>
      <c r="DG64" s="542"/>
      <c r="DH64" s="542"/>
      <c r="DI64" s="542"/>
      <c r="DJ64" s="542"/>
      <c r="DK64" s="542"/>
      <c r="DL64" s="542"/>
      <c r="DM64" s="542"/>
      <c r="DN64" s="542"/>
      <c r="DO64" s="542"/>
      <c r="DP64" s="542"/>
      <c r="DQ64" s="542"/>
      <c r="DR64" s="542"/>
      <c r="DS64" s="542"/>
      <c r="DT64" s="542"/>
      <c r="DU64" s="542"/>
      <c r="DV64" s="542"/>
      <c r="DW64" s="542"/>
      <c r="DX64" s="542"/>
      <c r="DY64" s="542"/>
      <c r="DZ64" s="542"/>
      <c r="EA64" s="542"/>
      <c r="EB64" s="542"/>
      <c r="EC64" s="542"/>
      <c r="ED64" s="542"/>
      <c r="EE64" s="542"/>
      <c r="EF64" s="542"/>
      <c r="EG64" s="542"/>
      <c r="EH64" s="542"/>
      <c r="EI64" s="542"/>
      <c r="EJ64" s="542"/>
      <c r="EK64" s="542"/>
      <c r="EL64" s="542"/>
      <c r="EM64" s="542"/>
      <c r="EN64" s="542"/>
      <c r="EO64" s="542"/>
      <c r="EP64" s="542"/>
      <c r="EQ64" s="542"/>
      <c r="ER64" s="542"/>
      <c r="ES64" s="542"/>
      <c r="ET64" s="542"/>
      <c r="EU64" s="542"/>
      <c r="EV64" s="542"/>
      <c r="EW64" s="542"/>
      <c r="EX64" s="542"/>
      <c r="EY64" s="542"/>
      <c r="EZ64" s="542"/>
      <c r="FA64" s="542"/>
      <c r="FB64" s="542"/>
      <c r="FC64" s="542"/>
      <c r="FD64" s="542"/>
      <c r="FE64" s="542"/>
      <c r="FF64" s="542"/>
      <c r="FG64" s="542"/>
    </row>
    <row r="65" spans="1:163" ht="12" thickBot="1">
      <c r="A65" s="1250"/>
      <c r="B65" s="1251" t="s">
        <v>105</v>
      </c>
      <c r="C65" s="1579">
        <f>SUM(C10:C64)</f>
        <v>735</v>
      </c>
      <c r="D65" s="1579">
        <f>SUM(D10:D64)</f>
        <v>1208</v>
      </c>
      <c r="E65" s="1579">
        <f>SUM(E10:E64)</f>
        <v>3084</v>
      </c>
      <c r="F65" s="1579">
        <f>SUM(F10:F64)</f>
        <v>4292</v>
      </c>
      <c r="G65" s="1579">
        <v>624</v>
      </c>
      <c r="H65" s="1579">
        <v>1317</v>
      </c>
      <c r="I65" s="1579">
        <v>1941</v>
      </c>
      <c r="J65" s="1579">
        <f>SUM(J11:J64)</f>
        <v>181</v>
      </c>
      <c r="K65" s="1579">
        <f>SUM(K11:K64)</f>
        <v>325</v>
      </c>
      <c r="L65" s="1580">
        <f>SUM(L10:L64)</f>
        <v>506</v>
      </c>
      <c r="M65" s="1579">
        <f>SUM(M10:M64)</f>
        <v>43</v>
      </c>
      <c r="N65" s="1579">
        <f>SUM(N10:N64)</f>
        <v>89</v>
      </c>
      <c r="O65" s="1582">
        <f>SUM(O10:O64)</f>
        <v>132</v>
      </c>
      <c r="P65" s="542"/>
      <c r="Q65" s="542"/>
      <c r="R65" s="542"/>
      <c r="S65" s="542"/>
      <c r="T65" s="542"/>
      <c r="U65" s="542"/>
      <c r="V65" s="542"/>
      <c r="W65" s="542"/>
      <c r="X65" s="542"/>
      <c r="Y65" s="542"/>
      <c r="Z65" s="542"/>
      <c r="AA65" s="542"/>
      <c r="AB65" s="542"/>
      <c r="AC65" s="542"/>
      <c r="AD65" s="542"/>
      <c r="AE65" s="542"/>
      <c r="AF65" s="542"/>
      <c r="AG65" s="542"/>
      <c r="AH65" s="542"/>
      <c r="AI65" s="542"/>
      <c r="AJ65" s="542"/>
      <c r="AK65" s="542"/>
      <c r="AL65" s="542"/>
      <c r="AM65" s="542"/>
      <c r="AN65" s="542"/>
      <c r="AO65" s="542"/>
      <c r="AP65" s="542"/>
      <c r="AQ65" s="542"/>
      <c r="AR65" s="542"/>
      <c r="AS65" s="542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V65" s="542"/>
      <c r="CW65" s="542"/>
      <c r="CX65" s="542"/>
      <c r="CY65" s="542"/>
      <c r="CZ65" s="542"/>
      <c r="DA65" s="542"/>
      <c r="DB65" s="542"/>
      <c r="DC65" s="542"/>
      <c r="DD65" s="542"/>
      <c r="DE65" s="542"/>
      <c r="DF65" s="542"/>
      <c r="DG65" s="542"/>
      <c r="DH65" s="542"/>
      <c r="DI65" s="542"/>
      <c r="DJ65" s="542"/>
      <c r="DK65" s="542"/>
      <c r="DL65" s="542"/>
      <c r="DM65" s="542"/>
      <c r="DN65" s="542"/>
      <c r="DO65" s="542"/>
      <c r="DP65" s="542"/>
      <c r="DQ65" s="542"/>
      <c r="DR65" s="542"/>
      <c r="DS65" s="542"/>
      <c r="DT65" s="542"/>
      <c r="DU65" s="542"/>
      <c r="DV65" s="542"/>
      <c r="DW65" s="542"/>
      <c r="DX65" s="542"/>
      <c r="DY65" s="542"/>
      <c r="DZ65" s="542"/>
      <c r="EA65" s="542"/>
      <c r="EB65" s="542"/>
      <c r="EC65" s="542"/>
      <c r="ED65" s="542"/>
      <c r="EE65" s="542"/>
      <c r="EF65" s="542"/>
      <c r="EG65" s="542"/>
      <c r="EH65" s="542"/>
      <c r="EI65" s="542"/>
      <c r="EJ65" s="542"/>
      <c r="EK65" s="542"/>
      <c r="EL65" s="542"/>
      <c r="EM65" s="542"/>
      <c r="EN65" s="542"/>
      <c r="EO65" s="542"/>
      <c r="EP65" s="542"/>
      <c r="EQ65" s="542"/>
      <c r="ER65" s="542"/>
      <c r="ES65" s="542"/>
      <c r="ET65" s="542"/>
      <c r="EU65" s="542"/>
      <c r="EV65" s="542"/>
      <c r="EW65" s="542"/>
      <c r="EX65" s="542"/>
      <c r="EY65" s="542"/>
      <c r="EZ65" s="542"/>
      <c r="FA65" s="542"/>
      <c r="FB65" s="542"/>
      <c r="FC65" s="542"/>
      <c r="FD65" s="542"/>
      <c r="FE65" s="542"/>
      <c r="FF65" s="542"/>
      <c r="FG65" s="542"/>
    </row>
    <row r="66" spans="1:163" ht="13.2">
      <c r="A66" s="1252" t="str">
        <f>'fiche technique'!A14</f>
        <v>Source: GALAXIE (ANTEE), DGRH A1-1 &amp; DGRH A2, juin 2014</v>
      </c>
      <c r="B66" s="1253"/>
      <c r="C66" s="1578"/>
      <c r="D66" s="1254"/>
      <c r="E66" s="1254"/>
      <c r="F66" s="1254"/>
      <c r="G66" s="657"/>
      <c r="H66" s="1481"/>
      <c r="I66" s="607"/>
      <c r="J66" s="607"/>
      <c r="K66" s="542"/>
      <c r="L66" s="542"/>
      <c r="M66" s="542"/>
      <c r="N66" s="542"/>
      <c r="O66" s="542"/>
      <c r="P66" s="542"/>
      <c r="Q66" s="542"/>
      <c r="R66" s="542"/>
      <c r="S66" s="542"/>
      <c r="T66" s="542"/>
      <c r="U66" s="542"/>
      <c r="V66" s="542"/>
      <c r="W66" s="542"/>
      <c r="X66" s="542"/>
      <c r="Y66" s="542"/>
      <c r="Z66" s="542"/>
      <c r="AA66" s="542"/>
      <c r="AB66" s="542"/>
      <c r="AC66" s="542"/>
      <c r="AD66" s="542"/>
      <c r="AE66" s="542"/>
      <c r="AF66" s="542"/>
      <c r="AG66" s="542"/>
      <c r="AH66" s="542"/>
      <c r="AI66" s="542"/>
      <c r="AJ66" s="542"/>
      <c r="AK66" s="542"/>
      <c r="AL66" s="542"/>
      <c r="AM66" s="542"/>
      <c r="AN66" s="542"/>
      <c r="AO66" s="542"/>
      <c r="AP66" s="542"/>
      <c r="AQ66" s="542"/>
      <c r="AR66" s="542"/>
      <c r="AS66" s="542"/>
      <c r="AT66" s="542"/>
      <c r="AU66" s="542"/>
      <c r="AV66" s="542"/>
      <c r="AW66" s="542"/>
      <c r="AX66" s="542"/>
      <c r="AY66" s="542"/>
      <c r="AZ66" s="542"/>
      <c r="BA66" s="542"/>
      <c r="BB66" s="542"/>
      <c r="BC66" s="542"/>
      <c r="BD66" s="542"/>
      <c r="BE66" s="542"/>
      <c r="BF66" s="542"/>
      <c r="BG66" s="542"/>
      <c r="BH66" s="542"/>
      <c r="BI66" s="542"/>
      <c r="BJ66" s="542"/>
      <c r="BK66" s="542"/>
      <c r="BL66" s="542"/>
      <c r="BM66" s="542"/>
      <c r="BN66" s="542"/>
      <c r="BO66" s="542"/>
      <c r="BP66" s="542"/>
      <c r="BQ66" s="542"/>
      <c r="BR66" s="542"/>
      <c r="BS66" s="542"/>
      <c r="BT66" s="542"/>
      <c r="BU66" s="542"/>
      <c r="BV66" s="542"/>
      <c r="BW66" s="542"/>
      <c r="BX66" s="542"/>
      <c r="BY66" s="542"/>
      <c r="BZ66" s="542"/>
      <c r="CA66" s="542"/>
      <c r="CB66" s="542"/>
      <c r="CC66" s="542"/>
      <c r="CD66" s="542"/>
      <c r="CE66" s="542"/>
      <c r="CF66" s="542"/>
      <c r="CG66" s="542"/>
      <c r="CH66" s="542"/>
      <c r="CI66" s="542"/>
      <c r="CJ66" s="542"/>
      <c r="CK66" s="542"/>
      <c r="CL66" s="542"/>
      <c r="CM66" s="542"/>
      <c r="CN66" s="542"/>
      <c r="CO66" s="542"/>
      <c r="CP66" s="542"/>
      <c r="CQ66" s="542"/>
      <c r="CR66" s="542"/>
      <c r="CS66" s="542"/>
      <c r="CT66" s="542"/>
      <c r="CU66" s="542"/>
      <c r="CV66" s="542"/>
      <c r="CW66" s="542"/>
      <c r="CX66" s="542"/>
      <c r="CY66" s="542"/>
      <c r="CZ66" s="542"/>
      <c r="DA66" s="542"/>
      <c r="DB66" s="542"/>
      <c r="DC66" s="542"/>
      <c r="DD66" s="542"/>
      <c r="DE66" s="542"/>
      <c r="DF66" s="542"/>
      <c r="DG66" s="542"/>
      <c r="DH66" s="542"/>
      <c r="DI66" s="542"/>
      <c r="DJ66" s="542"/>
      <c r="DK66" s="542"/>
      <c r="DL66" s="542"/>
      <c r="DM66" s="542"/>
      <c r="DN66" s="542"/>
      <c r="DO66" s="542"/>
      <c r="DP66" s="542"/>
      <c r="DQ66" s="542"/>
      <c r="DR66" s="542"/>
      <c r="DS66" s="542"/>
      <c r="DT66" s="542"/>
      <c r="DU66" s="542"/>
      <c r="DV66" s="542"/>
      <c r="DW66" s="542"/>
      <c r="DX66" s="542"/>
      <c r="DY66" s="542"/>
      <c r="DZ66" s="542"/>
      <c r="EA66" s="542"/>
      <c r="EB66" s="542"/>
      <c r="EC66" s="542"/>
      <c r="ED66" s="542"/>
      <c r="EE66" s="542"/>
      <c r="EF66" s="542"/>
      <c r="EG66" s="542"/>
      <c r="EH66" s="542"/>
      <c r="EI66" s="542"/>
      <c r="EJ66" s="542"/>
      <c r="EK66" s="542"/>
      <c r="EL66" s="542"/>
      <c r="EM66" s="542"/>
      <c r="EN66" s="542"/>
      <c r="EO66" s="542"/>
      <c r="EP66" s="542"/>
      <c r="EQ66" s="542"/>
      <c r="ER66" s="542"/>
      <c r="ES66" s="542"/>
      <c r="ET66" s="542"/>
      <c r="EU66" s="542"/>
      <c r="EV66" s="542"/>
      <c r="EW66" s="542"/>
      <c r="EX66" s="542"/>
      <c r="EY66" s="542"/>
      <c r="EZ66" s="542"/>
      <c r="FA66" s="542"/>
      <c r="FB66" s="542"/>
      <c r="FC66" s="542"/>
      <c r="FD66" s="542"/>
      <c r="FE66" s="542"/>
      <c r="FF66" s="542"/>
      <c r="FG66" s="542"/>
    </row>
    <row r="67" spans="1:163" ht="13.2">
      <c r="G67" s="657"/>
      <c r="H67" s="657"/>
      <c r="I67" s="607"/>
      <c r="J67" s="607"/>
      <c r="K67" s="542"/>
      <c r="L67" s="542"/>
      <c r="M67" s="542"/>
      <c r="N67" s="542"/>
      <c r="O67" s="542"/>
      <c r="P67" s="542"/>
      <c r="Q67" s="542"/>
      <c r="R67" s="542"/>
      <c r="S67" s="542"/>
      <c r="T67" s="542"/>
      <c r="U67" s="542"/>
      <c r="V67" s="542"/>
      <c r="W67" s="542"/>
      <c r="X67" s="542"/>
      <c r="Y67" s="542"/>
      <c r="Z67" s="542"/>
      <c r="AA67" s="542"/>
      <c r="AB67" s="542"/>
      <c r="AC67" s="542"/>
      <c r="AD67" s="542"/>
      <c r="AE67" s="542"/>
      <c r="AF67" s="542"/>
      <c r="AG67" s="542"/>
      <c r="AH67" s="542"/>
      <c r="AI67" s="542"/>
      <c r="AJ67" s="542"/>
      <c r="AK67" s="542"/>
      <c r="AL67" s="542"/>
      <c r="AM67" s="542"/>
      <c r="AN67" s="542"/>
      <c r="AO67" s="542"/>
      <c r="AP67" s="542"/>
      <c r="AQ67" s="542"/>
      <c r="AR67" s="542"/>
      <c r="AS67" s="542"/>
      <c r="AT67" s="542"/>
      <c r="AU67" s="542"/>
      <c r="AV67" s="542"/>
      <c r="AW67" s="542"/>
      <c r="AX67" s="542"/>
      <c r="AY67" s="542"/>
      <c r="AZ67" s="542"/>
      <c r="BA67" s="542"/>
      <c r="BB67" s="542"/>
      <c r="BC67" s="542"/>
      <c r="BD67" s="542"/>
      <c r="BE67" s="542"/>
      <c r="BF67" s="542"/>
      <c r="BG67" s="542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V67" s="542"/>
      <c r="CW67" s="542"/>
      <c r="CX67" s="542"/>
      <c r="CY67" s="542"/>
      <c r="CZ67" s="542"/>
      <c r="DA67" s="542"/>
      <c r="DB67" s="542"/>
      <c r="DC67" s="542"/>
      <c r="DD67" s="542"/>
      <c r="DE67" s="542"/>
      <c r="DF67" s="542"/>
      <c r="DG67" s="542"/>
      <c r="DH67" s="542"/>
      <c r="DI67" s="542"/>
      <c r="DJ67" s="542"/>
      <c r="DK67" s="542"/>
      <c r="DL67" s="542"/>
      <c r="DM67" s="542"/>
      <c r="DN67" s="542"/>
      <c r="DO67" s="542"/>
      <c r="DP67" s="542"/>
      <c r="DQ67" s="542"/>
      <c r="DR67" s="542"/>
      <c r="DS67" s="542"/>
    </row>
    <row r="68" spans="1:163" ht="13.2">
      <c r="G68" s="657"/>
      <c r="H68" s="657"/>
      <c r="I68" s="607"/>
      <c r="J68" s="607"/>
      <c r="K68" s="542"/>
      <c r="L68" s="542"/>
      <c r="M68" s="542"/>
      <c r="N68" s="542"/>
      <c r="O68" s="542"/>
      <c r="P68" s="542"/>
      <c r="Q68" s="542"/>
      <c r="R68" s="542"/>
      <c r="S68" s="542"/>
      <c r="T68" s="542"/>
      <c r="U68" s="542"/>
      <c r="V68" s="542"/>
      <c r="W68" s="542"/>
      <c r="X68" s="542"/>
      <c r="Y68" s="542"/>
      <c r="Z68" s="542"/>
      <c r="AA68" s="542"/>
      <c r="AB68" s="542"/>
      <c r="AC68" s="542"/>
      <c r="AD68" s="542"/>
      <c r="AE68" s="542"/>
      <c r="AF68" s="542"/>
      <c r="AG68" s="542"/>
      <c r="AH68" s="542"/>
      <c r="AI68" s="542"/>
      <c r="AJ68" s="542"/>
      <c r="AK68" s="542"/>
      <c r="AL68" s="542"/>
      <c r="AM68" s="542"/>
      <c r="AN68" s="542"/>
      <c r="AO68" s="542"/>
      <c r="AP68" s="542"/>
      <c r="AQ68" s="542"/>
      <c r="AR68" s="542"/>
      <c r="AS68" s="542"/>
      <c r="AT68" s="542"/>
      <c r="AU68" s="542"/>
      <c r="AV68" s="542"/>
      <c r="AW68" s="542"/>
      <c r="AX68" s="542"/>
      <c r="AY68" s="542"/>
      <c r="AZ68" s="542"/>
      <c r="BA68" s="542"/>
      <c r="BB68" s="542"/>
      <c r="BC68" s="542"/>
      <c r="BD68" s="542"/>
      <c r="BE68" s="542"/>
      <c r="BF68" s="542"/>
      <c r="BG68" s="542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V68" s="542"/>
      <c r="CW68" s="542"/>
      <c r="CX68" s="542"/>
      <c r="CY68" s="542"/>
      <c r="CZ68" s="542"/>
      <c r="DA68" s="542"/>
      <c r="DB68" s="542"/>
      <c r="DC68" s="542"/>
      <c r="DD68" s="542"/>
      <c r="DE68" s="542"/>
      <c r="DF68" s="542"/>
      <c r="DG68" s="542"/>
      <c r="DH68" s="542"/>
      <c r="DI68" s="542"/>
      <c r="DJ68" s="542"/>
      <c r="DK68" s="542"/>
      <c r="DL68" s="542"/>
      <c r="DM68" s="542"/>
      <c r="DN68" s="542"/>
      <c r="DO68" s="542"/>
      <c r="DP68" s="542"/>
      <c r="DQ68" s="542"/>
      <c r="DR68" s="542"/>
      <c r="DS68" s="542"/>
    </row>
    <row r="69" spans="1:163" ht="13.2">
      <c r="G69" s="657"/>
      <c r="H69" s="657"/>
      <c r="I69" s="607"/>
      <c r="J69" s="607"/>
      <c r="K69" s="542"/>
      <c r="L69" s="542"/>
      <c r="M69" s="542"/>
      <c r="N69" s="542"/>
      <c r="O69" s="542"/>
      <c r="P69" s="542"/>
      <c r="Q69" s="542"/>
      <c r="R69" s="542"/>
      <c r="S69" s="542"/>
      <c r="T69" s="542"/>
      <c r="U69" s="542"/>
      <c r="V69" s="542"/>
      <c r="W69" s="542"/>
      <c r="X69" s="542"/>
      <c r="Y69" s="542"/>
      <c r="Z69" s="542"/>
      <c r="AA69" s="542"/>
      <c r="AB69" s="542"/>
      <c r="AC69" s="542"/>
      <c r="AD69" s="542"/>
      <c r="AE69" s="542"/>
      <c r="AF69" s="542"/>
      <c r="AG69" s="542"/>
      <c r="AH69" s="542"/>
      <c r="AI69" s="542"/>
      <c r="AJ69" s="542"/>
      <c r="AK69" s="542"/>
      <c r="AL69" s="542"/>
      <c r="AM69" s="542"/>
      <c r="AN69" s="542"/>
      <c r="AO69" s="542"/>
      <c r="AP69" s="542"/>
      <c r="AQ69" s="542"/>
      <c r="AR69" s="542"/>
      <c r="AS69" s="542"/>
      <c r="AT69" s="542"/>
      <c r="AU69" s="542"/>
      <c r="AV69" s="542"/>
      <c r="AW69" s="542"/>
      <c r="AX69" s="542"/>
      <c r="AY69" s="542"/>
      <c r="AZ69" s="542"/>
      <c r="BA69" s="542"/>
      <c r="BB69" s="542"/>
      <c r="BC69" s="542"/>
      <c r="BD69" s="542"/>
      <c r="BE69" s="542"/>
      <c r="BF69" s="542"/>
      <c r="BG69" s="542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V69" s="542"/>
      <c r="CW69" s="542"/>
      <c r="CX69" s="542"/>
      <c r="CY69" s="542"/>
      <c r="CZ69" s="542"/>
      <c r="DA69" s="542"/>
      <c r="DB69" s="542"/>
      <c r="DC69" s="542"/>
      <c r="DD69" s="542"/>
      <c r="DE69" s="542"/>
      <c r="DF69" s="542"/>
      <c r="DG69" s="542"/>
      <c r="DH69" s="542"/>
      <c r="DI69" s="542"/>
      <c r="DJ69" s="542"/>
      <c r="DK69" s="542"/>
      <c r="DL69" s="542"/>
      <c r="DM69" s="542"/>
      <c r="DN69" s="542"/>
      <c r="DO69" s="542"/>
      <c r="DP69" s="542"/>
      <c r="DQ69" s="542"/>
      <c r="DR69" s="542"/>
      <c r="DS69" s="542"/>
    </row>
    <row r="70" spans="1:163" ht="13.2">
      <c r="D70" s="568"/>
      <c r="G70" s="657"/>
      <c r="H70" s="657"/>
      <c r="I70" s="607"/>
      <c r="J70" s="607"/>
      <c r="K70" s="542"/>
      <c r="L70" s="542"/>
      <c r="M70" s="542"/>
      <c r="N70" s="542"/>
      <c r="O70" s="542"/>
      <c r="P70" s="542"/>
      <c r="Q70" s="542"/>
      <c r="R70" s="542"/>
      <c r="S70" s="542"/>
      <c r="T70" s="542"/>
      <c r="U70" s="542"/>
      <c r="V70" s="542"/>
      <c r="W70" s="542"/>
      <c r="X70" s="542"/>
      <c r="Y70" s="542"/>
      <c r="Z70" s="542"/>
      <c r="AA70" s="542"/>
      <c r="AB70" s="542"/>
      <c r="AC70" s="542"/>
      <c r="AD70" s="542"/>
      <c r="AE70" s="542"/>
      <c r="AF70" s="542"/>
      <c r="AG70" s="542"/>
      <c r="AH70" s="542"/>
      <c r="AI70" s="542"/>
      <c r="AJ70" s="542"/>
      <c r="AK70" s="542"/>
      <c r="AL70" s="542"/>
      <c r="AM70" s="542"/>
      <c r="AN70" s="542"/>
      <c r="AO70" s="542"/>
      <c r="AP70" s="542"/>
      <c r="AQ70" s="542"/>
      <c r="AR70" s="542"/>
      <c r="AS70" s="542"/>
      <c r="AT70" s="542"/>
      <c r="AU70" s="542"/>
      <c r="AV70" s="542"/>
      <c r="AW70" s="542"/>
      <c r="AX70" s="542"/>
      <c r="AY70" s="542"/>
      <c r="AZ70" s="542"/>
      <c r="BA70" s="542"/>
      <c r="BB70" s="542"/>
      <c r="BC70" s="542"/>
      <c r="BD70" s="542"/>
      <c r="BE70" s="542"/>
      <c r="BF70" s="542"/>
      <c r="BG70" s="542"/>
      <c r="BH70" s="542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V70" s="542"/>
      <c r="CW70" s="542"/>
      <c r="CX70" s="542"/>
      <c r="CY70" s="542"/>
      <c r="CZ70" s="542"/>
      <c r="DA70" s="542"/>
      <c r="DB70" s="542"/>
      <c r="DC70" s="542"/>
      <c r="DD70" s="542"/>
      <c r="DE70" s="542"/>
      <c r="DF70" s="542"/>
      <c r="DG70" s="542"/>
      <c r="DH70" s="542"/>
      <c r="DI70" s="542"/>
      <c r="DJ70" s="542"/>
      <c r="DK70" s="542"/>
      <c r="DL70" s="542"/>
      <c r="DM70" s="542"/>
      <c r="DN70" s="542"/>
      <c r="DO70" s="542"/>
      <c r="DP70" s="542"/>
      <c r="DQ70" s="542"/>
      <c r="DR70" s="542"/>
      <c r="DS70" s="542"/>
    </row>
    <row r="71" spans="1:163" ht="13.2">
      <c r="G71" s="657"/>
      <c r="H71" s="657"/>
      <c r="I71" s="607"/>
      <c r="J71" s="607"/>
      <c r="K71" s="542"/>
      <c r="L71" s="542"/>
      <c r="M71" s="542"/>
      <c r="N71" s="542"/>
      <c r="O71" s="542"/>
      <c r="P71" s="542"/>
      <c r="Q71" s="542"/>
      <c r="R71" s="542"/>
      <c r="S71" s="542"/>
      <c r="T71" s="542"/>
      <c r="U71" s="542"/>
      <c r="V71" s="542"/>
      <c r="W71" s="542"/>
      <c r="X71" s="542"/>
      <c r="Y71" s="542"/>
      <c r="Z71" s="542"/>
      <c r="AA71" s="542"/>
      <c r="AB71" s="542"/>
      <c r="AC71" s="542"/>
      <c r="AD71" s="542"/>
      <c r="AE71" s="542"/>
      <c r="AF71" s="542"/>
      <c r="AG71" s="542"/>
      <c r="AH71" s="542"/>
      <c r="AI71" s="542"/>
      <c r="AJ71" s="542"/>
      <c r="AK71" s="542"/>
      <c r="AL71" s="542"/>
      <c r="AM71" s="542"/>
      <c r="AN71" s="542"/>
      <c r="AO71" s="542"/>
      <c r="AP71" s="542"/>
      <c r="AQ71" s="542"/>
      <c r="AR71" s="542"/>
      <c r="AS71" s="542"/>
      <c r="AT71" s="542"/>
      <c r="AU71" s="542"/>
      <c r="AV71" s="542"/>
      <c r="AW71" s="542"/>
      <c r="AX71" s="542"/>
      <c r="AY71" s="542"/>
      <c r="AZ71" s="542"/>
      <c r="BA71" s="542"/>
      <c r="BB71" s="542"/>
      <c r="BC71" s="542"/>
      <c r="BD71" s="542"/>
      <c r="BE71" s="542"/>
      <c r="BF71" s="542"/>
      <c r="BG71" s="542"/>
      <c r="BH71" s="542"/>
      <c r="BI71" s="542"/>
      <c r="BJ71" s="542"/>
      <c r="BK71" s="542"/>
      <c r="BL71" s="542"/>
      <c r="BM71" s="542"/>
      <c r="BN71" s="542"/>
      <c r="BO71" s="542"/>
      <c r="BP71" s="542"/>
      <c r="BQ71" s="542"/>
      <c r="BR71" s="542"/>
      <c r="BS71" s="542"/>
      <c r="BT71" s="542"/>
      <c r="BU71" s="542"/>
      <c r="BV71" s="542"/>
      <c r="BW71" s="542"/>
      <c r="BX71" s="542"/>
      <c r="BY71" s="542"/>
      <c r="BZ71" s="542"/>
      <c r="CA71" s="542"/>
      <c r="CB71" s="542"/>
      <c r="CC71" s="542"/>
      <c r="CD71" s="542"/>
      <c r="CE71" s="542"/>
      <c r="CF71" s="542"/>
      <c r="CG71" s="542"/>
      <c r="CH71" s="542"/>
      <c r="CI71" s="542"/>
      <c r="CJ71" s="542"/>
      <c r="CK71" s="542"/>
      <c r="CL71" s="542"/>
      <c r="CM71" s="542"/>
      <c r="CN71" s="542"/>
      <c r="CO71" s="542"/>
      <c r="CP71" s="542"/>
      <c r="CQ71" s="542"/>
      <c r="CR71" s="542"/>
      <c r="CS71" s="542"/>
      <c r="CT71" s="542"/>
      <c r="CU71" s="542"/>
      <c r="CV71" s="542"/>
      <c r="CW71" s="542"/>
      <c r="CX71" s="542"/>
      <c r="CY71" s="542"/>
      <c r="CZ71" s="542"/>
      <c r="DA71" s="542"/>
      <c r="DB71" s="542"/>
      <c r="DC71" s="542"/>
      <c r="DD71" s="542"/>
      <c r="DE71" s="542"/>
      <c r="DF71" s="542"/>
      <c r="DG71" s="542"/>
      <c r="DH71" s="542"/>
      <c r="DI71" s="542"/>
      <c r="DJ71" s="542"/>
      <c r="DK71" s="542"/>
      <c r="DL71" s="542"/>
      <c r="DM71" s="542"/>
      <c r="DN71" s="542"/>
      <c r="DO71" s="542"/>
      <c r="DP71" s="542"/>
      <c r="DQ71" s="542"/>
      <c r="DR71" s="542"/>
      <c r="DS71" s="542"/>
    </row>
    <row r="72" spans="1:163" ht="13.2">
      <c r="G72" s="657"/>
      <c r="H72" s="657"/>
      <c r="I72" s="607"/>
      <c r="J72" s="607"/>
      <c r="K72" s="542"/>
      <c r="N72" s="542"/>
      <c r="Q72" s="542"/>
      <c r="R72" s="542"/>
      <c r="S72" s="542"/>
      <c r="T72" s="542"/>
      <c r="U72" s="542"/>
      <c r="V72" s="542"/>
      <c r="W72" s="542"/>
      <c r="X72" s="542"/>
      <c r="Y72" s="542"/>
      <c r="Z72" s="542"/>
      <c r="AA72" s="542"/>
      <c r="AB72" s="542"/>
      <c r="AC72" s="542"/>
      <c r="AD72" s="542"/>
      <c r="AE72" s="542"/>
      <c r="AF72" s="542"/>
      <c r="AG72" s="542"/>
      <c r="AH72" s="542"/>
      <c r="AI72" s="542"/>
      <c r="AJ72" s="542"/>
      <c r="AK72" s="542"/>
      <c r="AL72" s="542"/>
      <c r="AM72" s="542"/>
      <c r="AN72" s="542"/>
      <c r="AO72" s="542"/>
      <c r="AP72" s="542"/>
      <c r="AQ72" s="542"/>
      <c r="AR72" s="542"/>
      <c r="AS72" s="542"/>
      <c r="AT72" s="542"/>
      <c r="AU72" s="542"/>
      <c r="AV72" s="542"/>
      <c r="AW72" s="542"/>
      <c r="AX72" s="542"/>
      <c r="AY72" s="542"/>
      <c r="AZ72" s="542"/>
      <c r="BA72" s="542"/>
      <c r="BB72" s="542"/>
      <c r="BC72" s="542"/>
      <c r="BD72" s="542"/>
      <c r="BE72" s="542"/>
      <c r="BF72" s="542"/>
      <c r="BG72" s="542"/>
      <c r="BH72" s="542"/>
      <c r="BI72" s="542"/>
      <c r="BJ72" s="542"/>
      <c r="BK72" s="542"/>
      <c r="BL72" s="542"/>
      <c r="BM72" s="542"/>
      <c r="BN72" s="542"/>
      <c r="BO72" s="542"/>
      <c r="BP72" s="542"/>
      <c r="BQ72" s="542"/>
      <c r="BR72" s="542"/>
      <c r="BS72" s="542"/>
      <c r="BT72" s="542"/>
      <c r="BU72" s="542"/>
      <c r="BV72" s="542"/>
      <c r="BW72" s="542"/>
      <c r="BX72" s="542"/>
      <c r="BY72" s="542"/>
      <c r="BZ72" s="542"/>
      <c r="CA72" s="542"/>
      <c r="CB72" s="542"/>
      <c r="CC72" s="542"/>
      <c r="CD72" s="542"/>
      <c r="CE72" s="542"/>
      <c r="CF72" s="542"/>
      <c r="CG72" s="542"/>
      <c r="CH72" s="542"/>
      <c r="CI72" s="542"/>
      <c r="CJ72" s="542"/>
      <c r="CK72" s="542"/>
      <c r="CL72" s="542"/>
      <c r="CM72" s="542"/>
      <c r="CN72" s="542"/>
      <c r="CO72" s="542"/>
      <c r="CP72" s="542"/>
      <c r="CQ72" s="542"/>
      <c r="CR72" s="542"/>
      <c r="CS72" s="542"/>
      <c r="CT72" s="542"/>
      <c r="CU72" s="542"/>
      <c r="CV72" s="542"/>
      <c r="CW72" s="542"/>
      <c r="CX72" s="542"/>
      <c r="CY72" s="542"/>
      <c r="CZ72" s="542"/>
      <c r="DA72" s="542"/>
      <c r="DB72" s="542"/>
      <c r="DC72" s="542"/>
      <c r="DD72" s="542"/>
      <c r="DE72" s="542"/>
      <c r="DF72" s="542"/>
      <c r="DG72" s="542"/>
      <c r="DH72" s="542"/>
      <c r="DI72" s="542"/>
      <c r="DJ72" s="542"/>
      <c r="DK72" s="542"/>
      <c r="DL72" s="542"/>
      <c r="DM72" s="542"/>
      <c r="DN72" s="542"/>
      <c r="DO72" s="542"/>
      <c r="DP72" s="542"/>
      <c r="DQ72" s="542"/>
      <c r="DR72" s="542"/>
      <c r="DS72" s="542"/>
    </row>
    <row r="73" spans="1:163" ht="13.2">
      <c r="G73" s="657"/>
      <c r="H73" s="657"/>
      <c r="I73" s="607"/>
      <c r="J73" s="607"/>
      <c r="K73" s="542"/>
    </row>
    <row r="74" spans="1:163" ht="13.2">
      <c r="G74" s="657"/>
      <c r="H74" s="657"/>
      <c r="I74" s="607"/>
      <c r="J74" s="607"/>
    </row>
    <row r="75" spans="1:163" ht="13.2">
      <c r="G75" s="657"/>
      <c r="H75" s="657"/>
      <c r="I75" s="607"/>
      <c r="J75" s="607"/>
    </row>
    <row r="76" spans="1:163" ht="13.2">
      <c r="G76" s="657"/>
      <c r="H76" s="657"/>
      <c r="I76" s="607"/>
      <c r="J76" s="607"/>
    </row>
    <row r="77" spans="1:163" ht="13.2">
      <c r="G77" s="657"/>
      <c r="H77" s="657"/>
      <c r="I77" s="607"/>
      <c r="J77" s="607"/>
      <c r="K77" s="607"/>
    </row>
    <row r="78" spans="1:163" ht="13.2">
      <c r="G78" s="657"/>
      <c r="H78" s="657"/>
      <c r="I78" s="607"/>
      <c r="J78" s="607"/>
      <c r="K78" s="542"/>
    </row>
    <row r="79" spans="1:163" ht="13.2">
      <c r="G79" s="657"/>
      <c r="H79" s="657"/>
      <c r="I79" s="607"/>
      <c r="J79" s="607"/>
      <c r="K79" s="542"/>
    </row>
    <row r="80" spans="1:163" ht="13.2">
      <c r="G80" s="657"/>
      <c r="H80" s="657"/>
      <c r="I80" s="607"/>
      <c r="J80" s="607"/>
      <c r="K80" s="542"/>
    </row>
    <row r="81" spans="7:11" ht="13.2">
      <c r="G81" s="657"/>
      <c r="H81" s="657"/>
      <c r="I81" s="657"/>
      <c r="J81" s="657"/>
      <c r="K81" s="542"/>
    </row>
    <row r="82" spans="7:11" ht="13.2">
      <c r="G82" s="657"/>
      <c r="H82" s="657"/>
      <c r="I82" s="657"/>
      <c r="J82" s="657"/>
      <c r="K82" s="542"/>
    </row>
    <row r="83" spans="7:11" ht="13.2">
      <c r="G83" s="1482"/>
      <c r="H83" s="657"/>
      <c r="I83" s="657"/>
      <c r="J83" s="657"/>
      <c r="K83" s="542"/>
    </row>
    <row r="84" spans="7:11" ht="13.2">
      <c r="G84" s="1482"/>
      <c r="H84" s="657"/>
      <c r="I84" s="657"/>
      <c r="J84" s="657"/>
      <c r="K84" s="542"/>
    </row>
    <row r="85" spans="7:11" ht="13.2">
      <c r="G85" s="1482"/>
      <c r="H85" s="657"/>
      <c r="I85" s="657"/>
      <c r="J85" s="657"/>
      <c r="K85" s="542"/>
    </row>
    <row r="86" spans="7:11" ht="13.2">
      <c r="G86" s="1482"/>
      <c r="H86" s="657"/>
      <c r="I86" s="657"/>
      <c r="J86" s="657"/>
      <c r="K86" s="542"/>
    </row>
    <row r="87" spans="7:11" ht="13.2">
      <c r="G87" s="1482"/>
      <c r="H87" s="657"/>
      <c r="I87" s="657"/>
      <c r="J87" s="657"/>
      <c r="K87" s="542"/>
    </row>
    <row r="88" spans="7:11" ht="13.2">
      <c r="G88" s="1482"/>
      <c r="H88" s="657"/>
      <c r="I88" s="657"/>
      <c r="J88" s="657"/>
      <c r="K88" s="542"/>
    </row>
    <row r="89" spans="7:11" ht="13.2">
      <c r="G89" s="1482"/>
      <c r="H89" s="657"/>
      <c r="I89" s="657"/>
      <c r="J89" s="657"/>
      <c r="K89" s="542"/>
    </row>
    <row r="90" spans="7:11" ht="13.2">
      <c r="G90" s="1482"/>
      <c r="H90" s="657"/>
      <c r="I90" s="657"/>
      <c r="J90" s="657"/>
      <c r="K90" s="542"/>
    </row>
    <row r="91" spans="7:11" ht="13.2">
      <c r="G91" s="1482"/>
      <c r="H91" s="657"/>
      <c r="I91" s="657"/>
      <c r="J91" s="657"/>
      <c r="K91" s="542"/>
    </row>
    <row r="92" spans="7:11" ht="13.2">
      <c r="G92" s="1482"/>
      <c r="H92" s="657"/>
      <c r="I92" s="657"/>
      <c r="J92" s="657"/>
      <c r="K92" s="542"/>
    </row>
    <row r="93" spans="7:11" ht="13.2">
      <c r="G93" s="1482"/>
      <c r="H93" s="657"/>
      <c r="I93" s="657"/>
      <c r="J93" s="657"/>
      <c r="K93" s="542"/>
    </row>
    <row r="94" spans="7:11" ht="13.2">
      <c r="H94" s="657"/>
      <c r="I94" s="657"/>
      <c r="J94" s="657"/>
      <c r="K94" s="542"/>
    </row>
    <row r="95" spans="7:11" ht="13.2">
      <c r="H95" s="657"/>
      <c r="I95" s="657"/>
      <c r="J95" s="657"/>
      <c r="K95" s="542"/>
    </row>
    <row r="96" spans="7:11" ht="13.2">
      <c r="H96" s="657"/>
      <c r="I96" s="657"/>
      <c r="J96" s="657"/>
      <c r="K96" s="542"/>
    </row>
    <row r="97" spans="8:11" ht="13.2">
      <c r="H97" s="657"/>
      <c r="I97" s="657"/>
      <c r="J97" s="657"/>
      <c r="K97" s="542"/>
    </row>
    <row r="98" spans="8:11" ht="13.2">
      <c r="H98" s="657"/>
      <c r="I98" s="657"/>
      <c r="J98" s="657"/>
      <c r="K98" s="542"/>
    </row>
    <row r="99" spans="8:11" ht="13.2">
      <c r="H99" s="657"/>
      <c r="I99" s="657"/>
      <c r="J99" s="657"/>
      <c r="K99" s="542"/>
    </row>
    <row r="100" spans="8:11" ht="13.2">
      <c r="H100" s="657"/>
      <c r="I100" s="657"/>
      <c r="J100" s="657"/>
      <c r="K100" s="542"/>
    </row>
    <row r="101" spans="8:11" ht="13.2">
      <c r="H101" s="657"/>
      <c r="I101" s="657"/>
      <c r="J101" s="657"/>
      <c r="K101" s="542"/>
    </row>
    <row r="102" spans="8:11" ht="13.2">
      <c r="H102" s="1482"/>
      <c r="I102" s="657"/>
      <c r="J102" s="657"/>
      <c r="K102" s="542"/>
    </row>
    <row r="103" spans="8:11" ht="13.2">
      <c r="H103" s="1482"/>
      <c r="I103" s="657"/>
      <c r="J103" s="657"/>
      <c r="K103" s="542"/>
    </row>
    <row r="104" spans="8:11" ht="13.2">
      <c r="H104" s="1482"/>
      <c r="I104" s="657"/>
      <c r="J104" s="657"/>
      <c r="K104" s="542"/>
    </row>
    <row r="105" spans="8:11" ht="13.2">
      <c r="H105" s="1482"/>
      <c r="I105" s="657"/>
      <c r="J105" s="657"/>
      <c r="K105" s="542"/>
    </row>
    <row r="106" spans="8:11" ht="13.2">
      <c r="H106" s="1482"/>
      <c r="I106" s="657"/>
      <c r="J106" s="657"/>
    </row>
    <row r="107" spans="8:11" ht="13.2">
      <c r="H107" s="1482"/>
      <c r="I107" s="657"/>
      <c r="J107" s="657"/>
    </row>
    <row r="108" spans="8:11" ht="13.2">
      <c r="H108" s="1482"/>
      <c r="I108" s="657"/>
      <c r="J108" s="657"/>
    </row>
    <row r="109" spans="8:11" ht="13.2">
      <c r="H109" s="1482"/>
      <c r="I109" s="657"/>
      <c r="J109" s="657"/>
    </row>
    <row r="110" spans="8:11" ht="13.2">
      <c r="H110" s="1482"/>
      <c r="I110" s="657"/>
      <c r="J110" s="657"/>
    </row>
    <row r="111" spans="8:11" ht="13.2">
      <c r="H111" s="1482"/>
      <c r="I111" s="657"/>
      <c r="J111" s="657"/>
    </row>
    <row r="112" spans="8:11" ht="13.2">
      <c r="H112" s="1482"/>
      <c r="I112" s="657"/>
      <c r="J112" s="657"/>
    </row>
    <row r="113" spans="9:10" ht="13.2">
      <c r="I113" s="657"/>
      <c r="J113" s="657"/>
    </row>
    <row r="114" spans="9:10" ht="13.2">
      <c r="I114" s="657"/>
      <c r="J114" s="657"/>
    </row>
    <row r="115" spans="9:10" ht="13.2">
      <c r="I115" s="657"/>
      <c r="J115" s="657"/>
    </row>
    <row r="116" spans="9:10" ht="13.2">
      <c r="I116" s="657"/>
      <c r="J116" s="657"/>
    </row>
    <row r="117" spans="9:10" ht="13.2">
      <c r="I117" s="1482"/>
      <c r="J117" s="542"/>
    </row>
    <row r="118" spans="9:10" ht="13.2">
      <c r="I118" s="1482"/>
      <c r="J118" s="542"/>
    </row>
    <row r="119" spans="9:10" ht="13.2">
      <c r="I119" s="1482"/>
      <c r="J119" s="542"/>
    </row>
    <row r="120" spans="9:10" ht="13.2">
      <c r="I120" s="1482"/>
      <c r="J120" s="542"/>
    </row>
    <row r="121" spans="9:10" ht="13.2">
      <c r="I121" s="1482"/>
      <c r="J121" s="542"/>
    </row>
    <row r="122" spans="9:10" ht="13.2">
      <c r="I122" s="1482"/>
      <c r="J122" s="542"/>
    </row>
    <row r="123" spans="9:10" ht="13.2">
      <c r="I123" s="1482"/>
      <c r="J123" s="542"/>
    </row>
    <row r="124" spans="9:10" ht="13.2">
      <c r="I124" s="1482"/>
      <c r="J124" s="542"/>
    </row>
    <row r="125" spans="9:10" ht="13.2">
      <c r="I125" s="1482"/>
      <c r="J125" s="542"/>
    </row>
    <row r="126" spans="9:10" ht="13.2">
      <c r="I126" s="1482"/>
      <c r="J126" s="542"/>
    </row>
    <row r="127" spans="9:10" ht="13.2">
      <c r="I127" s="1482"/>
      <c r="J127" s="542"/>
    </row>
  </sheetData>
  <mergeCells count="8">
    <mergeCell ref="A2:O2"/>
    <mergeCell ref="D8:F8"/>
    <mergeCell ref="G8:I8"/>
    <mergeCell ref="J8:L8"/>
    <mergeCell ref="M8:O8"/>
    <mergeCell ref="A4:O4"/>
    <mergeCell ref="A5:O5"/>
    <mergeCell ref="A7:O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portrait" r:id="rId1"/>
  <headerFooter alignWithMargins="0">
    <oddHeader>&amp;L&amp;"Arial,Gras"DGRH A1-1</oddHeader>
    <oddFooter>&amp;CPage 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99FF"/>
  </sheetPr>
  <dimension ref="A1:FO470"/>
  <sheetViews>
    <sheetView showZeros="0" topLeftCell="A113" zoomScale="75" zoomScaleNormal="75" workbookViewId="0">
      <selection activeCell="W38" sqref="W38"/>
    </sheetView>
  </sheetViews>
  <sheetFormatPr baseColWidth="10" defaultColWidth="11.44140625" defaultRowHeight="11.4"/>
  <cols>
    <col min="1" max="1" width="31" style="523" customWidth="1"/>
    <col min="2" max="2" width="10.33203125" style="560" customWidth="1"/>
    <col min="3" max="3" width="7.109375" style="523" bestFit="1" customWidth="1"/>
    <col min="4" max="4" width="9.88671875" style="523" customWidth="1"/>
    <col min="5" max="5" width="8" style="523" customWidth="1"/>
    <col min="6" max="6" width="7.109375" style="524" bestFit="1" customWidth="1"/>
    <col min="7" max="7" width="8.109375" style="523" bestFit="1" customWidth="1"/>
    <col min="8" max="8" width="8.44140625" style="523" customWidth="1"/>
    <col min="9" max="9" width="6.88671875" style="523" bestFit="1" customWidth="1"/>
    <col min="10" max="10" width="7.109375" style="523" bestFit="1" customWidth="1"/>
    <col min="11" max="11" width="6.6640625" style="523" customWidth="1"/>
    <col min="12" max="13" width="6.88671875" style="523" customWidth="1"/>
    <col min="14" max="14" width="8" style="523" customWidth="1"/>
    <col min="15" max="15" width="14.44140625" style="1586" customWidth="1"/>
    <col min="16" max="16" width="11.44140625" style="523"/>
    <col min="17" max="17" width="23.5546875" style="1586" customWidth="1"/>
    <col min="18" max="18" width="27.5546875" style="1586" customWidth="1"/>
    <col min="19" max="22" width="11.44140625" style="1586"/>
    <col min="23" max="16384" width="11.44140625" style="523"/>
  </cols>
  <sheetData>
    <row r="1" spans="1:131" ht="15" customHeight="1"/>
    <row r="2" spans="1:131" s="529" customFormat="1" ht="24" customHeight="1">
      <c r="A2" s="2237" t="str">
        <f>'fiche technique'!A5</f>
        <v>Bilan de la campagne 2014 de recrutement et d'affectation des professeurs des universités (session synchronisée - ANTEE)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1587"/>
      <c r="Q2" s="1588"/>
      <c r="R2" s="1588"/>
      <c r="S2" s="1588"/>
      <c r="T2" s="1588"/>
      <c r="U2" s="1588"/>
      <c r="V2" s="1588"/>
    </row>
    <row r="3" spans="1:131" s="529" customFormat="1" ht="9" customHeight="1">
      <c r="A3" s="1577"/>
      <c r="B3" s="1589"/>
      <c r="C3" s="1577"/>
      <c r="D3" s="1577"/>
      <c r="E3" s="1577"/>
      <c r="F3" s="1590"/>
      <c r="O3" s="1588"/>
      <c r="Q3" s="1588"/>
      <c r="R3" s="1588"/>
      <c r="S3" s="1588"/>
      <c r="T3" s="1588"/>
      <c r="U3" s="1588"/>
      <c r="V3" s="1588"/>
    </row>
    <row r="4" spans="1:131" s="529" customFormat="1" ht="19.5" customHeight="1">
      <c r="A4" s="2130" t="s">
        <v>106</v>
      </c>
      <c r="B4" s="2130"/>
      <c r="C4" s="2130"/>
      <c r="D4" s="2130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1591"/>
      <c r="Q4" s="1588"/>
      <c r="R4" s="1588"/>
      <c r="S4" s="1588"/>
      <c r="T4" s="1588"/>
      <c r="U4" s="1588"/>
      <c r="V4" s="1588"/>
    </row>
    <row r="5" spans="1:131" s="529" customFormat="1" ht="19.5" customHeight="1">
      <c r="A5" s="2130" t="s">
        <v>753</v>
      </c>
      <c r="B5" s="2130"/>
      <c r="C5" s="2130"/>
      <c r="D5" s="2130"/>
      <c r="E5" s="2130"/>
      <c r="F5" s="2130"/>
      <c r="G5" s="2130"/>
      <c r="H5" s="2130"/>
      <c r="I5" s="2130"/>
      <c r="J5" s="2130"/>
      <c r="K5" s="2130"/>
      <c r="L5" s="2130"/>
      <c r="M5" s="2130"/>
      <c r="N5" s="2130"/>
      <c r="O5" s="1591"/>
      <c r="Q5" s="1588"/>
      <c r="R5" s="1588"/>
      <c r="S5" s="1588"/>
      <c r="T5" s="1588"/>
      <c r="U5" s="1588"/>
      <c r="V5" s="1588"/>
    </row>
    <row r="6" spans="1:131" ht="9.75" customHeight="1">
      <c r="A6" s="607"/>
      <c r="B6" s="493"/>
      <c r="C6" s="607"/>
      <c r="D6" s="607"/>
      <c r="E6" s="607"/>
      <c r="F6" s="607"/>
    </row>
    <row r="7" spans="1:131" s="529" customFormat="1" ht="19.5" customHeight="1">
      <c r="A7" s="2131" t="s">
        <v>704</v>
      </c>
      <c r="B7" s="2131"/>
      <c r="C7" s="2131"/>
      <c r="D7" s="2131"/>
      <c r="E7" s="2131"/>
      <c r="F7" s="2131"/>
      <c r="G7" s="2131"/>
      <c r="H7" s="2131"/>
      <c r="I7" s="2131"/>
      <c r="J7" s="2131"/>
      <c r="K7" s="2131"/>
      <c r="L7" s="2131"/>
      <c r="M7" s="2131"/>
      <c r="N7" s="2131"/>
      <c r="O7" s="1592"/>
      <c r="Q7" s="1588"/>
      <c r="R7" s="1588"/>
      <c r="S7" s="1588"/>
      <c r="T7" s="1588"/>
      <c r="U7" s="1588"/>
      <c r="V7" s="1588"/>
    </row>
    <row r="8" spans="1:131" s="529" customFormat="1" ht="9.75" customHeight="1" thickBot="1">
      <c r="A8" s="1577"/>
      <c r="B8" s="1577"/>
      <c r="C8" s="1577"/>
      <c r="D8" s="1577"/>
      <c r="E8" s="1577"/>
      <c r="F8" s="1577"/>
      <c r="G8" s="1577"/>
      <c r="H8" s="1577"/>
      <c r="I8" s="1577"/>
      <c r="J8" s="1577"/>
      <c r="K8" s="1577"/>
      <c r="L8" s="1577"/>
      <c r="M8" s="1577"/>
      <c r="N8" s="1577"/>
      <c r="O8" s="1592"/>
      <c r="Q8" s="1588"/>
      <c r="R8" s="1588"/>
      <c r="S8" s="1588"/>
      <c r="T8" s="1588"/>
      <c r="U8" s="1588"/>
      <c r="V8" s="1588"/>
    </row>
    <row r="9" spans="1:131" ht="15" customHeight="1" thickBot="1">
      <c r="A9" s="560"/>
      <c r="B9" s="537"/>
      <c r="C9" s="2244" t="s">
        <v>750</v>
      </c>
      <c r="D9" s="2245"/>
      <c r="E9" s="2245"/>
      <c r="F9" s="2246" t="s">
        <v>751</v>
      </c>
      <c r="G9" s="2246"/>
      <c r="H9" s="2246"/>
      <c r="I9" s="2247" t="s">
        <v>754</v>
      </c>
      <c r="J9" s="2247"/>
      <c r="K9" s="2247"/>
      <c r="L9" s="2248" t="s">
        <v>752</v>
      </c>
      <c r="M9" s="2249"/>
      <c r="N9" s="2250"/>
      <c r="P9" s="1586"/>
      <c r="V9" s="523"/>
    </row>
    <row r="10" spans="1:131" s="607" customFormat="1" ht="72.75" customHeight="1">
      <c r="A10" s="1593" t="s">
        <v>125</v>
      </c>
      <c r="B10" s="1594" t="s">
        <v>1</v>
      </c>
      <c r="C10" s="1479" t="s">
        <v>577</v>
      </c>
      <c r="D10" s="1479" t="s">
        <v>702</v>
      </c>
      <c r="E10" s="1480" t="s">
        <v>705</v>
      </c>
      <c r="F10" s="1479" t="s">
        <v>577</v>
      </c>
      <c r="G10" s="1479" t="s">
        <v>702</v>
      </c>
      <c r="H10" s="1480" t="s">
        <v>705</v>
      </c>
      <c r="I10" s="1479" t="s">
        <v>577</v>
      </c>
      <c r="J10" s="1479" t="s">
        <v>702</v>
      </c>
      <c r="K10" s="1480" t="s">
        <v>705</v>
      </c>
      <c r="L10" s="1479" t="s">
        <v>577</v>
      </c>
      <c r="M10" s="1479" t="s">
        <v>702</v>
      </c>
      <c r="N10" s="1581" t="s">
        <v>705</v>
      </c>
      <c r="O10" s="1595"/>
      <c r="P10" s="1595"/>
      <c r="Q10" s="1595"/>
      <c r="R10" s="1595"/>
      <c r="S10" s="1595"/>
      <c r="T10" s="1595"/>
      <c r="U10" s="1595"/>
    </row>
    <row r="11" spans="1:131" s="742" customFormat="1" ht="13.2">
      <c r="A11" s="1596" t="s">
        <v>169</v>
      </c>
      <c r="B11" s="1496">
        <v>46</v>
      </c>
      <c r="C11" s="1495">
        <v>51</v>
      </c>
      <c r="D11" s="1496">
        <v>127</v>
      </c>
      <c r="E11" s="1597">
        <f>SUM(C11:D11)</f>
        <v>178</v>
      </c>
      <c r="F11" s="1598">
        <v>49</v>
      </c>
      <c r="G11" s="1598">
        <v>118</v>
      </c>
      <c r="H11" s="1599">
        <v>167</v>
      </c>
      <c r="I11" s="1495">
        <v>10</v>
      </c>
      <c r="J11" s="1495">
        <v>15</v>
      </c>
      <c r="K11" s="1597">
        <v>25</v>
      </c>
      <c r="L11" s="1496">
        <v>1</v>
      </c>
      <c r="M11" s="1496">
        <v>6</v>
      </c>
      <c r="N11" s="1600">
        <v>7</v>
      </c>
      <c r="O11" s="1595"/>
      <c r="P11" s="1595"/>
      <c r="Q11" s="1595"/>
      <c r="R11" s="1595"/>
      <c r="S11" s="1595"/>
      <c r="T11" s="1595"/>
      <c r="U11" s="1595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7"/>
      <c r="BA11" s="607"/>
      <c r="BB11" s="607"/>
      <c r="BC11" s="607"/>
      <c r="BD11" s="607"/>
      <c r="BE11" s="607"/>
      <c r="BF11" s="607"/>
      <c r="BG11" s="607"/>
      <c r="BH11" s="607"/>
      <c r="BI11" s="607"/>
      <c r="BJ11" s="607"/>
      <c r="BK11" s="607"/>
      <c r="BL11" s="607"/>
      <c r="BM11" s="607"/>
      <c r="BN11" s="607"/>
      <c r="BO11" s="607"/>
      <c r="BP11" s="607"/>
      <c r="BQ11" s="607"/>
      <c r="BR11" s="607"/>
      <c r="BS11" s="607"/>
      <c r="BT11" s="607"/>
      <c r="BU11" s="607"/>
      <c r="BV11" s="607"/>
      <c r="BW11" s="607"/>
      <c r="BX11" s="607"/>
      <c r="BY11" s="607"/>
      <c r="BZ11" s="607"/>
      <c r="CA11" s="607"/>
      <c r="CB11" s="607"/>
      <c r="CC11" s="607"/>
      <c r="CD11" s="607"/>
      <c r="CE11" s="607"/>
      <c r="CF11" s="607"/>
      <c r="CG11" s="607"/>
      <c r="CH11" s="607"/>
      <c r="CI11" s="607"/>
      <c r="CJ11" s="607"/>
      <c r="CK11" s="607"/>
      <c r="CL11" s="607"/>
      <c r="CM11" s="607"/>
      <c r="CN11" s="607"/>
      <c r="CO11" s="607"/>
      <c r="CP11" s="607"/>
      <c r="CQ11" s="607"/>
      <c r="CR11" s="607"/>
      <c r="CS11" s="607"/>
      <c r="CT11" s="607"/>
      <c r="CU11" s="607"/>
      <c r="CV11" s="607"/>
      <c r="CW11" s="607"/>
      <c r="CX11" s="607"/>
      <c r="CY11" s="607"/>
      <c r="CZ11" s="607"/>
      <c r="DA11" s="607"/>
      <c r="DB11" s="607"/>
      <c r="DC11" s="607"/>
      <c r="DD11" s="607"/>
      <c r="DE11" s="607"/>
      <c r="DF11" s="607"/>
      <c r="DG11" s="607"/>
      <c r="DH11" s="607"/>
      <c r="DI11" s="607"/>
      <c r="DJ11" s="607"/>
      <c r="DK11" s="607"/>
      <c r="DL11" s="607"/>
      <c r="DM11" s="607"/>
      <c r="DN11" s="607"/>
      <c r="DO11" s="607"/>
      <c r="DP11" s="607"/>
      <c r="DQ11" s="607"/>
      <c r="DR11" s="607"/>
      <c r="DS11" s="607"/>
      <c r="DT11" s="607"/>
      <c r="DU11" s="607"/>
      <c r="DV11" s="607"/>
      <c r="DW11" s="607"/>
      <c r="DX11" s="607"/>
      <c r="DY11" s="607"/>
      <c r="DZ11" s="607"/>
      <c r="EA11" s="607"/>
    </row>
    <row r="12" spans="1:131" s="742" customFormat="1" ht="13.2">
      <c r="A12" s="1601" t="s">
        <v>387</v>
      </c>
      <c r="B12" s="1502">
        <v>2</v>
      </c>
      <c r="C12" s="1501">
        <v>3</v>
      </c>
      <c r="D12" s="1502">
        <v>6</v>
      </c>
      <c r="E12" s="1509">
        <f t="shared" ref="E12:E78" si="0">SUM(C12:D12)</f>
        <v>9</v>
      </c>
      <c r="F12" s="1602">
        <v>3</v>
      </c>
      <c r="G12" s="1602">
        <v>6</v>
      </c>
      <c r="H12" s="1603">
        <v>9</v>
      </c>
      <c r="I12" s="1501"/>
      <c r="J12" s="1501">
        <v>1</v>
      </c>
      <c r="K12" s="1509">
        <v>1</v>
      </c>
      <c r="L12" s="1502"/>
      <c r="M12" s="1502"/>
      <c r="N12" s="1604"/>
      <c r="O12" s="1595"/>
      <c r="P12" s="1595"/>
      <c r="Q12" s="1595"/>
      <c r="R12" s="1595"/>
      <c r="S12" s="1595"/>
      <c r="T12" s="1595"/>
      <c r="U12" s="1595"/>
      <c r="V12" s="607"/>
      <c r="W12" s="607"/>
      <c r="X12" s="607"/>
      <c r="Y12" s="607"/>
      <c r="Z12" s="607"/>
      <c r="AA12" s="607"/>
      <c r="AB12" s="607"/>
      <c r="AC12" s="607"/>
      <c r="AD12" s="607"/>
      <c r="AE12" s="607"/>
      <c r="AF12" s="607"/>
      <c r="AG12" s="607"/>
      <c r="AH12" s="607"/>
      <c r="AI12" s="607"/>
      <c r="AJ12" s="607"/>
      <c r="AK12" s="607"/>
      <c r="AL12" s="607"/>
      <c r="AM12" s="607"/>
      <c r="AN12" s="607"/>
      <c r="AO12" s="607"/>
      <c r="AP12" s="607"/>
      <c r="AQ12" s="607"/>
      <c r="AR12" s="607"/>
      <c r="AS12" s="607"/>
      <c r="AT12" s="607"/>
      <c r="AU12" s="607"/>
      <c r="AV12" s="607"/>
      <c r="AW12" s="607"/>
      <c r="AX12" s="607"/>
      <c r="AY12" s="607"/>
      <c r="AZ12" s="607"/>
      <c r="BA12" s="607"/>
      <c r="BB12" s="607"/>
      <c r="BC12" s="607"/>
      <c r="BD12" s="607"/>
      <c r="BE12" s="607"/>
      <c r="BF12" s="607"/>
      <c r="BG12" s="607"/>
      <c r="BH12" s="607"/>
      <c r="BI12" s="607"/>
      <c r="BJ12" s="607"/>
      <c r="BK12" s="607"/>
      <c r="BL12" s="607"/>
      <c r="BM12" s="607"/>
      <c r="BN12" s="607"/>
      <c r="BO12" s="607"/>
      <c r="BP12" s="607"/>
      <c r="BQ12" s="607"/>
      <c r="BR12" s="607"/>
      <c r="BS12" s="607"/>
      <c r="BT12" s="607"/>
      <c r="BU12" s="607"/>
      <c r="BV12" s="607"/>
      <c r="BW12" s="607"/>
      <c r="BX12" s="607"/>
      <c r="BY12" s="607"/>
      <c r="BZ12" s="607"/>
      <c r="CA12" s="607"/>
      <c r="CB12" s="607"/>
      <c r="CC12" s="607"/>
      <c r="CD12" s="607"/>
      <c r="CE12" s="607"/>
      <c r="CF12" s="607"/>
      <c r="CG12" s="607"/>
      <c r="CH12" s="607"/>
      <c r="CI12" s="607"/>
      <c r="CJ12" s="607"/>
      <c r="CK12" s="607"/>
      <c r="CL12" s="607"/>
      <c r="CM12" s="607"/>
      <c r="CN12" s="607"/>
      <c r="CO12" s="607"/>
      <c r="CP12" s="607"/>
      <c r="CQ12" s="607"/>
      <c r="CR12" s="607"/>
      <c r="CS12" s="607"/>
      <c r="CT12" s="607"/>
      <c r="CU12" s="607"/>
      <c r="CV12" s="607"/>
      <c r="CW12" s="607"/>
      <c r="CX12" s="607"/>
      <c r="CY12" s="607"/>
      <c r="CZ12" s="607"/>
      <c r="DA12" s="607"/>
      <c r="DB12" s="607"/>
      <c r="DC12" s="607"/>
      <c r="DD12" s="607"/>
      <c r="DE12" s="607"/>
      <c r="DF12" s="607"/>
      <c r="DG12" s="607"/>
      <c r="DH12" s="607"/>
      <c r="DI12" s="607"/>
      <c r="DJ12" s="607"/>
      <c r="DK12" s="607"/>
      <c r="DL12" s="607"/>
      <c r="DM12" s="607"/>
      <c r="DN12" s="607"/>
      <c r="DO12" s="607"/>
      <c r="DP12" s="607"/>
      <c r="DQ12" s="607"/>
      <c r="DR12" s="607"/>
      <c r="DS12" s="607"/>
      <c r="DT12" s="607"/>
      <c r="DU12" s="607"/>
      <c r="DV12" s="607"/>
      <c r="DW12" s="607"/>
      <c r="DX12" s="607"/>
      <c r="DY12" s="607"/>
      <c r="DZ12" s="607"/>
      <c r="EA12" s="607"/>
    </row>
    <row r="13" spans="1:131" s="742" customFormat="1" ht="13.2">
      <c r="A13" s="1601" t="s">
        <v>561</v>
      </c>
      <c r="B13" s="1502">
        <v>1</v>
      </c>
      <c r="C13" s="1501"/>
      <c r="D13" s="1502">
        <v>1</v>
      </c>
      <c r="E13" s="1509">
        <f t="shared" si="0"/>
        <v>1</v>
      </c>
      <c r="F13" s="1602">
        <v>0</v>
      </c>
      <c r="G13" s="1602">
        <v>1</v>
      </c>
      <c r="H13" s="1603">
        <v>1</v>
      </c>
      <c r="I13" s="1501"/>
      <c r="J13" s="1501"/>
      <c r="K13" s="1509"/>
      <c r="L13" s="1502"/>
      <c r="M13" s="1502">
        <v>1</v>
      </c>
      <c r="N13" s="1604">
        <v>1</v>
      </c>
      <c r="O13" s="1595"/>
      <c r="P13" s="1595"/>
      <c r="Q13" s="1595"/>
      <c r="R13" s="1595"/>
      <c r="S13" s="1595"/>
      <c r="T13" s="1595"/>
      <c r="U13" s="1595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7"/>
      <c r="BA13" s="607"/>
      <c r="BB13" s="607"/>
      <c r="BC13" s="607"/>
      <c r="BD13" s="607"/>
      <c r="BE13" s="607"/>
      <c r="BF13" s="607"/>
      <c r="BG13" s="607"/>
      <c r="BH13" s="607"/>
      <c r="BI13" s="607"/>
      <c r="BJ13" s="607"/>
      <c r="BK13" s="607"/>
      <c r="BL13" s="607"/>
      <c r="BM13" s="607"/>
      <c r="BN13" s="607"/>
      <c r="BO13" s="607"/>
      <c r="BP13" s="607"/>
      <c r="BQ13" s="607"/>
      <c r="BR13" s="607"/>
      <c r="BS13" s="607"/>
      <c r="BT13" s="607"/>
      <c r="BU13" s="607"/>
      <c r="BV13" s="607"/>
      <c r="BW13" s="607"/>
      <c r="BX13" s="607"/>
      <c r="BY13" s="607"/>
      <c r="BZ13" s="607"/>
      <c r="CA13" s="607"/>
      <c r="CB13" s="607"/>
      <c r="CC13" s="607"/>
      <c r="CD13" s="607"/>
      <c r="CE13" s="607"/>
      <c r="CF13" s="607"/>
      <c r="CG13" s="607"/>
      <c r="CH13" s="607"/>
      <c r="CI13" s="607"/>
      <c r="CJ13" s="607"/>
      <c r="CK13" s="607"/>
      <c r="CL13" s="607"/>
      <c r="CM13" s="607"/>
      <c r="CN13" s="607"/>
      <c r="CO13" s="607"/>
      <c r="CP13" s="607"/>
      <c r="CQ13" s="607"/>
      <c r="CR13" s="607"/>
      <c r="CS13" s="607"/>
      <c r="CT13" s="607"/>
      <c r="CU13" s="607"/>
      <c r="CV13" s="607"/>
      <c r="CW13" s="607"/>
      <c r="CX13" s="607"/>
      <c r="CY13" s="607"/>
      <c r="CZ13" s="607"/>
      <c r="DA13" s="607"/>
      <c r="DB13" s="607"/>
      <c r="DC13" s="607"/>
      <c r="DD13" s="607"/>
      <c r="DE13" s="607"/>
      <c r="DF13" s="607"/>
      <c r="DG13" s="607"/>
      <c r="DH13" s="607"/>
      <c r="DI13" s="607"/>
      <c r="DJ13" s="607"/>
      <c r="DK13" s="607"/>
      <c r="DL13" s="607"/>
      <c r="DM13" s="607"/>
      <c r="DN13" s="607"/>
      <c r="DO13" s="607"/>
      <c r="DP13" s="607"/>
      <c r="DQ13" s="607"/>
      <c r="DR13" s="607"/>
      <c r="DS13" s="607"/>
      <c r="DT13" s="607"/>
      <c r="DU13" s="607"/>
      <c r="DV13" s="607"/>
      <c r="DW13" s="607"/>
      <c r="DX13" s="607"/>
      <c r="DY13" s="607"/>
      <c r="DZ13" s="607"/>
      <c r="EA13" s="607"/>
    </row>
    <row r="14" spans="1:131" s="742" customFormat="1" ht="13.2">
      <c r="A14" s="1605" t="s">
        <v>755</v>
      </c>
      <c r="B14" s="1606">
        <v>5</v>
      </c>
      <c r="C14" s="1607">
        <v>6</v>
      </c>
      <c r="D14" s="1606">
        <v>63</v>
      </c>
      <c r="E14" s="1608">
        <f t="shared" si="0"/>
        <v>69</v>
      </c>
      <c r="F14" s="1609">
        <v>6</v>
      </c>
      <c r="G14" s="1609">
        <v>61</v>
      </c>
      <c r="H14" s="1610">
        <v>67</v>
      </c>
      <c r="I14" s="1607"/>
      <c r="J14" s="1607">
        <v>3</v>
      </c>
      <c r="K14" s="1608">
        <v>3</v>
      </c>
      <c r="L14" s="1606"/>
      <c r="M14" s="1606">
        <v>1</v>
      </c>
      <c r="N14" s="1611">
        <v>1</v>
      </c>
      <c r="O14" s="1595"/>
      <c r="P14" s="1595"/>
      <c r="Q14" s="1595"/>
      <c r="R14" s="1595"/>
      <c r="S14" s="1595"/>
      <c r="T14" s="1595"/>
      <c r="U14" s="1595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7"/>
      <c r="BA14" s="607"/>
      <c r="BB14" s="607"/>
      <c r="BC14" s="607"/>
      <c r="BD14" s="607"/>
      <c r="BE14" s="607"/>
      <c r="BF14" s="607"/>
      <c r="BG14" s="607"/>
      <c r="BH14" s="607"/>
      <c r="BI14" s="607"/>
      <c r="BJ14" s="607"/>
      <c r="BK14" s="607"/>
      <c r="BL14" s="607"/>
      <c r="BM14" s="607"/>
      <c r="BN14" s="607"/>
      <c r="BO14" s="607"/>
      <c r="BP14" s="607"/>
      <c r="BQ14" s="607"/>
      <c r="BR14" s="607"/>
      <c r="BS14" s="607"/>
      <c r="BT14" s="607"/>
      <c r="BU14" s="607"/>
      <c r="BV14" s="607"/>
      <c r="BW14" s="607"/>
      <c r="BX14" s="607"/>
      <c r="BY14" s="607"/>
      <c r="BZ14" s="607"/>
      <c r="CA14" s="607"/>
      <c r="CB14" s="607"/>
      <c r="CC14" s="607"/>
      <c r="CD14" s="607"/>
      <c r="CE14" s="607"/>
      <c r="CF14" s="607"/>
      <c r="CG14" s="607"/>
      <c r="CH14" s="607"/>
      <c r="CI14" s="607"/>
      <c r="CJ14" s="607"/>
      <c r="CK14" s="607"/>
      <c r="CL14" s="607"/>
      <c r="CM14" s="607"/>
      <c r="CN14" s="607"/>
      <c r="CO14" s="607"/>
      <c r="CP14" s="607"/>
      <c r="CQ14" s="607"/>
      <c r="CR14" s="607"/>
      <c r="CS14" s="607"/>
      <c r="CT14" s="607"/>
      <c r="CU14" s="607"/>
      <c r="CV14" s="607"/>
      <c r="CW14" s="607"/>
      <c r="CX14" s="607"/>
      <c r="CY14" s="607"/>
      <c r="CZ14" s="607"/>
      <c r="DA14" s="607"/>
      <c r="DB14" s="607"/>
      <c r="DC14" s="607"/>
      <c r="DD14" s="607"/>
      <c r="DE14" s="607"/>
      <c r="DF14" s="607"/>
      <c r="DG14" s="607"/>
      <c r="DH14" s="607"/>
      <c r="DI14" s="607"/>
      <c r="DJ14" s="607"/>
      <c r="DK14" s="607"/>
      <c r="DL14" s="607"/>
      <c r="DM14" s="607"/>
      <c r="DN14" s="607"/>
      <c r="DO14" s="607"/>
      <c r="DP14" s="607"/>
      <c r="DQ14" s="607"/>
      <c r="DR14" s="607"/>
      <c r="DS14" s="607"/>
      <c r="DT14" s="607"/>
      <c r="DU14" s="607"/>
      <c r="DV14" s="607"/>
      <c r="DW14" s="607"/>
      <c r="DX14" s="607"/>
      <c r="DY14" s="607"/>
      <c r="DZ14" s="607"/>
      <c r="EA14" s="607"/>
    </row>
    <row r="15" spans="1:131" s="742" customFormat="1" ht="13.2">
      <c r="A15" s="1612" t="s">
        <v>756</v>
      </c>
      <c r="B15" s="1613">
        <f>SUM(B11:B14)</f>
        <v>54</v>
      </c>
      <c r="C15" s="1613">
        <f>SUM(C11:C14)</f>
        <v>60</v>
      </c>
      <c r="D15" s="1613">
        <f>SUM(D11:D14)</f>
        <v>197</v>
      </c>
      <c r="E15" s="1613">
        <f>SUM(E11:E14)</f>
        <v>257</v>
      </c>
      <c r="F15" s="1613">
        <v>56</v>
      </c>
      <c r="G15" s="1613">
        <v>158</v>
      </c>
      <c r="H15" s="1613">
        <v>214</v>
      </c>
      <c r="I15" s="1613">
        <v>10</v>
      </c>
      <c r="J15" s="1613">
        <v>19</v>
      </c>
      <c r="K15" s="1613">
        <v>29</v>
      </c>
      <c r="L15" s="1613">
        <v>1</v>
      </c>
      <c r="M15" s="1613">
        <v>8</v>
      </c>
      <c r="N15" s="1614">
        <v>9</v>
      </c>
      <c r="O15" s="1615"/>
      <c r="P15" s="1595" t="s">
        <v>899</v>
      </c>
      <c r="Q15" s="1595">
        <v>56</v>
      </c>
      <c r="R15" s="1595">
        <v>158</v>
      </c>
      <c r="S15" s="1595">
        <v>214</v>
      </c>
      <c r="T15" s="1595"/>
      <c r="U15" s="1595"/>
      <c r="V15" s="607"/>
      <c r="W15" s="607"/>
      <c r="X15" s="607"/>
      <c r="Y15" s="607"/>
      <c r="Z15" s="607"/>
      <c r="AA15" s="607"/>
      <c r="AB15" s="607"/>
      <c r="AC15" s="607"/>
      <c r="AD15" s="607"/>
      <c r="AE15" s="607"/>
      <c r="AF15" s="607"/>
      <c r="AG15" s="607"/>
      <c r="AH15" s="607"/>
      <c r="AI15" s="607"/>
      <c r="AJ15" s="607"/>
      <c r="AK15" s="607"/>
      <c r="AL15" s="607"/>
      <c r="AM15" s="607"/>
      <c r="AN15" s="607"/>
      <c r="AO15" s="607"/>
      <c r="AP15" s="607"/>
      <c r="AQ15" s="607"/>
      <c r="AR15" s="607"/>
      <c r="AS15" s="607"/>
      <c r="AT15" s="607"/>
      <c r="AU15" s="607"/>
      <c r="AV15" s="607"/>
      <c r="AW15" s="607"/>
      <c r="AX15" s="607"/>
      <c r="AY15" s="607"/>
      <c r="AZ15" s="607"/>
      <c r="BA15" s="607"/>
      <c r="BB15" s="607"/>
      <c r="BC15" s="607"/>
      <c r="BD15" s="607"/>
      <c r="BE15" s="607"/>
      <c r="BF15" s="607"/>
      <c r="BG15" s="607"/>
      <c r="BH15" s="607"/>
      <c r="BI15" s="607"/>
      <c r="BJ15" s="607"/>
      <c r="BK15" s="607"/>
      <c r="BL15" s="607"/>
      <c r="BM15" s="607"/>
      <c r="BN15" s="607"/>
      <c r="BO15" s="607"/>
      <c r="BP15" s="607"/>
      <c r="BQ15" s="607"/>
      <c r="BR15" s="607"/>
      <c r="BS15" s="607"/>
      <c r="BT15" s="607"/>
      <c r="BU15" s="607"/>
      <c r="BV15" s="607"/>
      <c r="BW15" s="607"/>
      <c r="BX15" s="607"/>
      <c r="BY15" s="607"/>
      <c r="BZ15" s="607"/>
      <c r="CA15" s="607"/>
      <c r="CB15" s="607"/>
      <c r="CC15" s="607"/>
      <c r="CD15" s="607"/>
      <c r="CE15" s="607"/>
      <c r="CF15" s="607"/>
      <c r="CG15" s="607"/>
      <c r="CH15" s="607"/>
      <c r="CI15" s="607"/>
      <c r="CJ15" s="607"/>
      <c r="CK15" s="607"/>
      <c r="CL15" s="607"/>
      <c r="CM15" s="607"/>
      <c r="CN15" s="607"/>
      <c r="CO15" s="607"/>
      <c r="CP15" s="607"/>
      <c r="CQ15" s="607"/>
      <c r="CR15" s="607"/>
      <c r="CS15" s="607"/>
      <c r="CT15" s="607"/>
      <c r="CU15" s="607"/>
      <c r="CV15" s="607"/>
      <c r="CW15" s="607"/>
      <c r="CX15" s="607"/>
      <c r="CY15" s="607"/>
      <c r="CZ15" s="607"/>
      <c r="DA15" s="607"/>
      <c r="DB15" s="607"/>
      <c r="DC15" s="607"/>
      <c r="DD15" s="607"/>
      <c r="DE15" s="607"/>
      <c r="DF15" s="607"/>
      <c r="DG15" s="607"/>
      <c r="DH15" s="607"/>
      <c r="DI15" s="607"/>
      <c r="DJ15" s="607"/>
      <c r="DK15" s="607"/>
      <c r="DL15" s="607"/>
      <c r="DM15" s="607"/>
      <c r="DN15" s="607"/>
      <c r="DO15" s="607"/>
      <c r="DP15" s="607"/>
      <c r="DQ15" s="607"/>
      <c r="DR15" s="607"/>
      <c r="DS15" s="607"/>
      <c r="DT15" s="607"/>
      <c r="DU15" s="607"/>
      <c r="DV15" s="607"/>
      <c r="DW15" s="607"/>
      <c r="DX15" s="607"/>
      <c r="DY15" s="607"/>
      <c r="DZ15" s="607"/>
      <c r="EA15" s="607"/>
    </row>
    <row r="16" spans="1:131" s="742" customFormat="1" ht="13.2">
      <c r="A16" s="1601" t="s">
        <v>170</v>
      </c>
      <c r="B16" s="1616">
        <v>14</v>
      </c>
      <c r="C16" s="1617">
        <v>40</v>
      </c>
      <c r="D16" s="1616">
        <v>44</v>
      </c>
      <c r="E16" s="1618">
        <f t="shared" si="0"/>
        <v>84</v>
      </c>
      <c r="F16" s="1619">
        <v>37</v>
      </c>
      <c r="G16" s="1619">
        <v>42</v>
      </c>
      <c r="H16" s="1620">
        <v>79</v>
      </c>
      <c r="I16" s="1621">
        <v>3</v>
      </c>
      <c r="J16" s="1621">
        <v>6</v>
      </c>
      <c r="K16" s="1622">
        <v>9</v>
      </c>
      <c r="L16" s="1616"/>
      <c r="M16" s="1616">
        <v>2</v>
      </c>
      <c r="N16" s="1623">
        <v>2</v>
      </c>
      <c r="O16" s="1615"/>
      <c r="P16" s="1595" t="s">
        <v>900</v>
      </c>
      <c r="Q16" s="1595">
        <v>38</v>
      </c>
      <c r="R16" s="1595">
        <v>58</v>
      </c>
      <c r="S16" s="1595">
        <v>96</v>
      </c>
      <c r="T16" s="1595"/>
      <c r="U16" s="1595"/>
      <c r="V16" s="607"/>
      <c r="W16" s="607"/>
      <c r="X16" s="607"/>
      <c r="Y16" s="607"/>
      <c r="Z16" s="607"/>
      <c r="AA16" s="607"/>
      <c r="AB16" s="607"/>
      <c r="AC16" s="607"/>
      <c r="AD16" s="607"/>
      <c r="AE16" s="607"/>
      <c r="AF16" s="607"/>
      <c r="AG16" s="607"/>
      <c r="AH16" s="607"/>
      <c r="AI16" s="607"/>
      <c r="AJ16" s="607"/>
      <c r="AK16" s="607"/>
      <c r="AL16" s="607"/>
      <c r="AM16" s="607"/>
      <c r="AN16" s="607"/>
      <c r="AO16" s="607"/>
      <c r="AP16" s="607"/>
      <c r="AQ16" s="607"/>
      <c r="AR16" s="607"/>
      <c r="AS16" s="607"/>
      <c r="AT16" s="607"/>
      <c r="AU16" s="607"/>
      <c r="AV16" s="607"/>
      <c r="AW16" s="607"/>
      <c r="AX16" s="607"/>
      <c r="AY16" s="607"/>
      <c r="AZ16" s="607"/>
      <c r="BA16" s="607"/>
      <c r="BB16" s="607"/>
      <c r="BC16" s="607"/>
      <c r="BD16" s="607"/>
      <c r="BE16" s="607"/>
      <c r="BF16" s="607"/>
      <c r="BG16" s="607"/>
      <c r="BH16" s="607"/>
      <c r="BI16" s="607"/>
      <c r="BJ16" s="607"/>
      <c r="BK16" s="607"/>
      <c r="BL16" s="607"/>
      <c r="BM16" s="607"/>
      <c r="BN16" s="607"/>
      <c r="BO16" s="607"/>
      <c r="BP16" s="607"/>
      <c r="BQ16" s="607"/>
      <c r="BR16" s="607"/>
      <c r="BS16" s="607"/>
      <c r="BT16" s="607"/>
      <c r="BU16" s="607"/>
      <c r="BV16" s="607"/>
      <c r="BW16" s="607"/>
      <c r="BX16" s="607"/>
      <c r="BY16" s="607"/>
      <c r="BZ16" s="607"/>
      <c r="CA16" s="607"/>
      <c r="CB16" s="607"/>
      <c r="CC16" s="607"/>
      <c r="CD16" s="607"/>
      <c r="CE16" s="607"/>
      <c r="CF16" s="607"/>
      <c r="CG16" s="607"/>
      <c r="CH16" s="607"/>
      <c r="CI16" s="607"/>
      <c r="CJ16" s="607"/>
      <c r="CK16" s="607"/>
      <c r="CL16" s="607"/>
      <c r="CM16" s="607"/>
      <c r="CN16" s="607"/>
      <c r="CO16" s="607"/>
      <c r="CP16" s="607"/>
      <c r="CQ16" s="607"/>
      <c r="CR16" s="607"/>
      <c r="CS16" s="607"/>
      <c r="CT16" s="607"/>
      <c r="CU16" s="607"/>
      <c r="CV16" s="607"/>
      <c r="CW16" s="607"/>
      <c r="CX16" s="607"/>
      <c r="CY16" s="607"/>
      <c r="CZ16" s="607"/>
      <c r="DA16" s="607"/>
      <c r="DB16" s="607"/>
      <c r="DC16" s="607"/>
      <c r="DD16" s="607"/>
      <c r="DE16" s="607"/>
      <c r="DF16" s="607"/>
      <c r="DG16" s="607"/>
      <c r="DH16" s="607"/>
      <c r="DI16" s="607"/>
      <c r="DJ16" s="607"/>
      <c r="DK16" s="607"/>
      <c r="DL16" s="607"/>
      <c r="DM16" s="607"/>
      <c r="DN16" s="607"/>
      <c r="DO16" s="607"/>
      <c r="DP16" s="607"/>
      <c r="DQ16" s="607"/>
      <c r="DR16" s="607"/>
      <c r="DS16" s="607"/>
      <c r="DT16" s="607"/>
      <c r="DU16" s="607"/>
      <c r="DV16" s="607"/>
      <c r="DW16" s="607"/>
      <c r="DX16" s="607"/>
      <c r="DY16" s="607"/>
      <c r="DZ16" s="607"/>
      <c r="EA16" s="607"/>
    </row>
    <row r="17" spans="1:23" s="742" customFormat="1" ht="13.2">
      <c r="A17" s="1601" t="s">
        <v>757</v>
      </c>
      <c r="B17" s="1502">
        <v>4</v>
      </c>
      <c r="C17" s="1501">
        <v>1</v>
      </c>
      <c r="D17" s="1502">
        <v>19</v>
      </c>
      <c r="E17" s="1509">
        <f t="shared" si="0"/>
        <v>20</v>
      </c>
      <c r="F17" s="1602">
        <v>1</v>
      </c>
      <c r="G17" s="1602">
        <v>16</v>
      </c>
      <c r="H17" s="1603">
        <v>17</v>
      </c>
      <c r="I17" s="1507">
        <v>1</v>
      </c>
      <c r="J17" s="1507">
        <v>3</v>
      </c>
      <c r="K17" s="1508">
        <v>4</v>
      </c>
      <c r="L17" s="1502"/>
      <c r="M17" s="1502"/>
      <c r="N17" s="1604"/>
      <c r="O17" s="1615"/>
      <c r="P17" s="1595" t="s">
        <v>901</v>
      </c>
      <c r="Q17" s="1595">
        <v>14</v>
      </c>
      <c r="R17" s="1595">
        <v>41</v>
      </c>
      <c r="S17" s="1595">
        <v>55</v>
      </c>
      <c r="T17" s="1595"/>
      <c r="U17" s="1595"/>
      <c r="W17" s="607"/>
    </row>
    <row r="18" spans="1:23" s="742" customFormat="1" ht="13.2">
      <c r="A18" s="1612" t="s">
        <v>758</v>
      </c>
      <c r="B18" s="1613">
        <f>SUM(B16:B17)</f>
        <v>18</v>
      </c>
      <c r="C18" s="1613">
        <f>SUM(C16:C17)</f>
        <v>41</v>
      </c>
      <c r="D18" s="1613">
        <f>SUM(D16:D17)</f>
        <v>63</v>
      </c>
      <c r="E18" s="1613">
        <f>SUM(E16:E17)</f>
        <v>104</v>
      </c>
      <c r="F18" s="1613">
        <v>38</v>
      </c>
      <c r="G18" s="1613">
        <v>58</v>
      </c>
      <c r="H18" s="1613">
        <v>96</v>
      </c>
      <c r="I18" s="1613">
        <v>4</v>
      </c>
      <c r="J18" s="1613">
        <v>9</v>
      </c>
      <c r="K18" s="1613">
        <v>13</v>
      </c>
      <c r="L18" s="1613"/>
      <c r="M18" s="1613">
        <v>2</v>
      </c>
      <c r="N18" s="1614">
        <v>2</v>
      </c>
      <c r="O18" s="1615"/>
      <c r="P18" s="1595" t="s">
        <v>902</v>
      </c>
      <c r="Q18" s="1615">
        <v>34</v>
      </c>
      <c r="R18" s="1615">
        <v>147</v>
      </c>
      <c r="S18" s="1615">
        <v>181</v>
      </c>
      <c r="T18" s="1615"/>
      <c r="U18" s="1595"/>
    </row>
    <row r="19" spans="1:23" s="742" customFormat="1" ht="13.2">
      <c r="A19" s="1628" t="s">
        <v>391</v>
      </c>
      <c r="B19" s="1485" t="s">
        <v>530</v>
      </c>
      <c r="C19" s="1506"/>
      <c r="D19" s="1485"/>
      <c r="E19" s="1503"/>
      <c r="F19" s="1674"/>
      <c r="G19" s="1674"/>
      <c r="H19" s="1675"/>
      <c r="I19" s="1692"/>
      <c r="J19" s="1692"/>
      <c r="K19" s="1693"/>
      <c r="L19" s="1485"/>
      <c r="M19" s="1485"/>
      <c r="N19" s="1488"/>
      <c r="O19" s="1615"/>
      <c r="P19" s="1595" t="s">
        <v>903</v>
      </c>
      <c r="Q19" s="1615">
        <v>12</v>
      </c>
      <c r="R19" s="1615">
        <v>60</v>
      </c>
      <c r="S19" s="1615">
        <v>72</v>
      </c>
      <c r="T19" s="1615"/>
      <c r="U19" s="1595"/>
    </row>
    <row r="20" spans="1:23" s="742" customFormat="1" ht="13.2">
      <c r="A20" s="1612" t="s">
        <v>804</v>
      </c>
      <c r="B20" s="1682" t="s">
        <v>530</v>
      </c>
      <c r="C20" s="1682"/>
      <c r="D20" s="1682"/>
      <c r="E20" s="1682"/>
      <c r="F20" s="1682"/>
      <c r="G20" s="1682"/>
      <c r="H20" s="1682"/>
      <c r="I20" s="1682"/>
      <c r="J20" s="1682"/>
      <c r="K20" s="1682"/>
      <c r="L20" s="1682"/>
      <c r="M20" s="1682"/>
      <c r="N20" s="1683"/>
      <c r="O20" s="1615"/>
      <c r="P20" s="1595" t="s">
        <v>904</v>
      </c>
      <c r="Q20" s="1615">
        <v>15</v>
      </c>
      <c r="R20" s="1615">
        <v>19</v>
      </c>
      <c r="S20" s="1615">
        <v>34</v>
      </c>
      <c r="T20" s="1615"/>
      <c r="U20" s="1595"/>
    </row>
    <row r="21" spans="1:23" s="742" customFormat="1" ht="13.2">
      <c r="A21" s="1601" t="s">
        <v>171</v>
      </c>
      <c r="B21" s="1502">
        <v>13</v>
      </c>
      <c r="C21" s="1501">
        <v>14</v>
      </c>
      <c r="D21" s="1502">
        <v>41</v>
      </c>
      <c r="E21" s="1509">
        <f t="shared" si="0"/>
        <v>55</v>
      </c>
      <c r="F21" s="1602">
        <v>14</v>
      </c>
      <c r="G21" s="1602">
        <v>41</v>
      </c>
      <c r="H21" s="1603">
        <v>55</v>
      </c>
      <c r="I21" s="1507">
        <v>4</v>
      </c>
      <c r="J21" s="1507">
        <v>7</v>
      </c>
      <c r="K21" s="1508">
        <v>11</v>
      </c>
      <c r="L21" s="1502"/>
      <c r="M21" s="1502"/>
      <c r="N21" s="1604"/>
      <c r="O21" s="1615"/>
      <c r="P21" s="1595" t="s">
        <v>905</v>
      </c>
      <c r="Q21" s="1615"/>
      <c r="R21" s="1615">
        <v>2</v>
      </c>
      <c r="S21" s="1615">
        <v>2</v>
      </c>
      <c r="T21" s="1615"/>
      <c r="U21" s="1595"/>
    </row>
    <row r="22" spans="1:23" s="742" customFormat="1" ht="13.2">
      <c r="A22" s="1612" t="s">
        <v>759</v>
      </c>
      <c r="B22" s="1613">
        <v>13</v>
      </c>
      <c r="C22" s="1624">
        <v>14</v>
      </c>
      <c r="D22" s="1613">
        <v>41</v>
      </c>
      <c r="E22" s="1624">
        <f t="shared" si="0"/>
        <v>55</v>
      </c>
      <c r="F22" s="1625">
        <v>14</v>
      </c>
      <c r="G22" s="1625">
        <v>41</v>
      </c>
      <c r="H22" s="1625">
        <v>55</v>
      </c>
      <c r="I22" s="1626">
        <v>4</v>
      </c>
      <c r="J22" s="1626">
        <v>7</v>
      </c>
      <c r="K22" s="1626">
        <v>11</v>
      </c>
      <c r="L22" s="1613"/>
      <c r="M22" s="1613"/>
      <c r="N22" s="1614"/>
      <c r="O22" s="1615"/>
      <c r="P22" s="1595" t="s">
        <v>906</v>
      </c>
      <c r="Q22" s="1615">
        <v>91</v>
      </c>
      <c r="R22" s="1615">
        <v>217</v>
      </c>
      <c r="S22" s="1615">
        <v>308</v>
      </c>
      <c r="T22" s="1615"/>
      <c r="U22" s="1595"/>
    </row>
    <row r="23" spans="1:23" s="742" customFormat="1" ht="13.2">
      <c r="A23" s="1601" t="s">
        <v>172</v>
      </c>
      <c r="B23" s="1502">
        <v>23</v>
      </c>
      <c r="C23" s="1501">
        <v>20</v>
      </c>
      <c r="D23" s="1502">
        <v>108</v>
      </c>
      <c r="E23" s="1509">
        <f t="shared" si="0"/>
        <v>128</v>
      </c>
      <c r="F23" s="1602">
        <v>18</v>
      </c>
      <c r="G23" s="1602">
        <v>102</v>
      </c>
      <c r="H23" s="1603">
        <v>120</v>
      </c>
      <c r="I23" s="1507">
        <v>5</v>
      </c>
      <c r="J23" s="1507">
        <v>13</v>
      </c>
      <c r="K23" s="1508">
        <v>18</v>
      </c>
      <c r="L23" s="1502"/>
      <c r="M23" s="1502">
        <v>5</v>
      </c>
      <c r="N23" s="1604">
        <v>5</v>
      </c>
      <c r="O23" s="1615"/>
      <c r="P23" s="1595" t="s">
        <v>907</v>
      </c>
      <c r="Q23" s="1615">
        <v>28</v>
      </c>
      <c r="R23" s="1615">
        <v>80</v>
      </c>
      <c r="S23" s="1615">
        <v>108</v>
      </c>
      <c r="T23" s="1615"/>
      <c r="U23" s="1595"/>
    </row>
    <row r="24" spans="1:23" s="742" customFormat="1" ht="13.2">
      <c r="A24" s="1601" t="s">
        <v>396</v>
      </c>
      <c r="B24" s="1502">
        <v>5</v>
      </c>
      <c r="C24" s="1501">
        <v>11</v>
      </c>
      <c r="D24" s="1502">
        <v>13</v>
      </c>
      <c r="E24" s="1509">
        <f t="shared" si="0"/>
        <v>24</v>
      </c>
      <c r="F24" s="1602">
        <v>11</v>
      </c>
      <c r="G24" s="1602">
        <v>13</v>
      </c>
      <c r="H24" s="1603">
        <v>24</v>
      </c>
      <c r="I24" s="1507">
        <v>2</v>
      </c>
      <c r="J24" s="1507">
        <v>3</v>
      </c>
      <c r="K24" s="1508">
        <v>5</v>
      </c>
      <c r="L24" s="1502"/>
      <c r="M24" s="1502"/>
      <c r="N24" s="1604"/>
      <c r="O24" s="1615"/>
      <c r="P24" s="1595" t="s">
        <v>908</v>
      </c>
      <c r="Q24" s="1615">
        <v>57</v>
      </c>
      <c r="R24" s="1615">
        <v>111</v>
      </c>
      <c r="S24" s="1615">
        <v>168</v>
      </c>
      <c r="T24" s="1615"/>
      <c r="U24" s="1615"/>
    </row>
    <row r="25" spans="1:23" s="742" customFormat="1" ht="13.2">
      <c r="A25" s="1628" t="s">
        <v>397</v>
      </c>
      <c r="B25" s="1502"/>
      <c r="C25" s="1501"/>
      <c r="D25" s="1502"/>
      <c r="E25" s="1509"/>
      <c r="F25" s="1602"/>
      <c r="G25" s="1602"/>
      <c r="H25" s="1603"/>
      <c r="I25" s="1507"/>
      <c r="J25" s="1507"/>
      <c r="K25" s="1508"/>
      <c r="L25" s="1502"/>
      <c r="M25" s="1502"/>
      <c r="N25" s="1604"/>
      <c r="O25" s="1615"/>
      <c r="P25" s="1595" t="s">
        <v>909</v>
      </c>
      <c r="Q25" s="1615">
        <v>1</v>
      </c>
      <c r="R25" s="1615">
        <v>7</v>
      </c>
      <c r="S25" s="1615">
        <v>8</v>
      </c>
      <c r="T25" s="1615"/>
      <c r="U25" s="1615"/>
    </row>
    <row r="26" spans="1:23" s="742" customFormat="1" ht="13.2">
      <c r="A26" s="1627" t="s">
        <v>562</v>
      </c>
      <c r="B26" s="1502">
        <v>5</v>
      </c>
      <c r="C26" s="1501">
        <v>6</v>
      </c>
      <c r="D26" s="1502">
        <v>43</v>
      </c>
      <c r="E26" s="1509">
        <f t="shared" si="0"/>
        <v>49</v>
      </c>
      <c r="F26" s="1602">
        <v>6</v>
      </c>
      <c r="G26" s="1602">
        <v>41</v>
      </c>
      <c r="H26" s="1603">
        <v>47</v>
      </c>
      <c r="I26" s="1507">
        <v>1</v>
      </c>
      <c r="J26" s="1507">
        <v>4</v>
      </c>
      <c r="K26" s="1508">
        <v>5</v>
      </c>
      <c r="L26" s="1502"/>
      <c r="M26" s="1502"/>
      <c r="N26" s="1604"/>
      <c r="O26" s="1615"/>
      <c r="P26" s="1595" t="s">
        <v>910</v>
      </c>
      <c r="Q26" s="1615">
        <v>56</v>
      </c>
      <c r="R26" s="1615">
        <v>124</v>
      </c>
      <c r="S26" s="1615">
        <v>180</v>
      </c>
      <c r="T26" s="1615"/>
      <c r="U26" s="1615"/>
    </row>
    <row r="27" spans="1:23" s="742" customFormat="1" ht="13.2">
      <c r="A27" s="1612" t="s">
        <v>760</v>
      </c>
      <c r="B27" s="1613">
        <f>SUM(B23:B26)</f>
        <v>33</v>
      </c>
      <c r="C27" s="1613">
        <f>SUM(C23:C26)</f>
        <v>37</v>
      </c>
      <c r="D27" s="1613">
        <f>SUM(D23:D26)</f>
        <v>164</v>
      </c>
      <c r="E27" s="1613">
        <f>SUM(E23:E26)</f>
        <v>201</v>
      </c>
      <c r="F27" s="1613">
        <v>34</v>
      </c>
      <c r="G27" s="1613">
        <v>147</v>
      </c>
      <c r="H27" s="1613">
        <v>181</v>
      </c>
      <c r="I27" s="1613">
        <v>8</v>
      </c>
      <c r="J27" s="1613">
        <v>20</v>
      </c>
      <c r="K27" s="1613">
        <v>28</v>
      </c>
      <c r="L27" s="1613"/>
      <c r="M27" s="1613">
        <v>5</v>
      </c>
      <c r="N27" s="1614">
        <v>5</v>
      </c>
      <c r="O27" s="1615"/>
      <c r="P27" s="1615" t="s">
        <v>911</v>
      </c>
      <c r="Q27" s="1615">
        <v>12</v>
      </c>
      <c r="R27" s="1615">
        <v>42</v>
      </c>
      <c r="S27" s="1615">
        <v>54</v>
      </c>
      <c r="T27" s="1615"/>
      <c r="U27" s="1615"/>
    </row>
    <row r="28" spans="1:23" s="742" customFormat="1" ht="13.2">
      <c r="A28" s="1601" t="s">
        <v>173</v>
      </c>
      <c r="B28" s="1502">
        <v>5</v>
      </c>
      <c r="C28" s="1501">
        <v>12</v>
      </c>
      <c r="D28" s="1502">
        <v>60</v>
      </c>
      <c r="E28" s="1509">
        <f t="shared" si="0"/>
        <v>72</v>
      </c>
      <c r="F28" s="1602">
        <v>12</v>
      </c>
      <c r="G28" s="1602">
        <v>60</v>
      </c>
      <c r="H28" s="1603">
        <v>72</v>
      </c>
      <c r="I28" s="1507"/>
      <c r="J28" s="1507">
        <v>5</v>
      </c>
      <c r="K28" s="1508">
        <v>5</v>
      </c>
      <c r="L28" s="1502"/>
      <c r="M28" s="1502"/>
      <c r="N28" s="1604"/>
      <c r="O28" s="1615"/>
      <c r="P28" s="1615" t="s">
        <v>912</v>
      </c>
      <c r="Q28" s="1615">
        <v>65</v>
      </c>
      <c r="R28" s="1615">
        <v>148</v>
      </c>
      <c r="S28" s="1615">
        <v>213</v>
      </c>
      <c r="T28" s="1615"/>
      <c r="U28" s="1615"/>
    </row>
    <row r="29" spans="1:23" s="742" customFormat="1" ht="13.2">
      <c r="A29" s="1612" t="s">
        <v>761</v>
      </c>
      <c r="B29" s="1613">
        <v>5</v>
      </c>
      <c r="C29" s="1624">
        <v>12</v>
      </c>
      <c r="D29" s="1613">
        <v>60</v>
      </c>
      <c r="E29" s="1624">
        <f t="shared" si="0"/>
        <v>72</v>
      </c>
      <c r="F29" s="1625">
        <v>12</v>
      </c>
      <c r="G29" s="1625">
        <v>60</v>
      </c>
      <c r="H29" s="1625">
        <v>72</v>
      </c>
      <c r="I29" s="1626"/>
      <c r="J29" s="1626">
        <v>5</v>
      </c>
      <c r="K29" s="1626">
        <v>5</v>
      </c>
      <c r="L29" s="1613"/>
      <c r="M29" s="1613"/>
      <c r="N29" s="1614"/>
      <c r="O29" s="1615"/>
      <c r="P29" s="1615"/>
      <c r="Q29" s="1615"/>
      <c r="R29" s="1615"/>
      <c r="S29" s="1615"/>
      <c r="T29" s="1615"/>
      <c r="U29" s="1615"/>
    </row>
    <row r="30" spans="1:23" s="742" customFormat="1" ht="13.2">
      <c r="A30" s="1627" t="s">
        <v>401</v>
      </c>
      <c r="B30" s="1502">
        <v>4</v>
      </c>
      <c r="C30" s="1501">
        <v>2</v>
      </c>
      <c r="D30" s="1502">
        <v>6</v>
      </c>
      <c r="E30" s="1509">
        <f t="shared" si="0"/>
        <v>8</v>
      </c>
      <c r="F30" s="1602">
        <v>2</v>
      </c>
      <c r="G30" s="1602">
        <v>6</v>
      </c>
      <c r="H30" s="1603">
        <v>8</v>
      </c>
      <c r="I30" s="1507">
        <v>2</v>
      </c>
      <c r="J30" s="1507">
        <v>1</v>
      </c>
      <c r="K30" s="1508">
        <v>3</v>
      </c>
      <c r="L30" s="1502"/>
      <c r="M30" s="1502"/>
      <c r="N30" s="1604"/>
      <c r="O30" s="1615"/>
      <c r="P30" s="1615"/>
      <c r="Q30" s="1615"/>
      <c r="R30" s="1615"/>
      <c r="S30" s="1615"/>
      <c r="T30" s="1615"/>
      <c r="U30" s="1615"/>
    </row>
    <row r="31" spans="1:23" s="742" customFormat="1" ht="13.2">
      <c r="A31" s="1601" t="s">
        <v>402</v>
      </c>
      <c r="B31" s="1502">
        <v>4</v>
      </c>
      <c r="C31" s="1501">
        <v>13</v>
      </c>
      <c r="D31" s="1502">
        <v>13</v>
      </c>
      <c r="E31" s="1509">
        <f t="shared" si="0"/>
        <v>26</v>
      </c>
      <c r="F31" s="1602">
        <v>13</v>
      </c>
      <c r="G31" s="1602">
        <v>13</v>
      </c>
      <c r="H31" s="1603">
        <v>26</v>
      </c>
      <c r="I31" s="1507">
        <v>3</v>
      </c>
      <c r="J31" s="1507">
        <v>1</v>
      </c>
      <c r="K31" s="1508">
        <v>4</v>
      </c>
      <c r="L31" s="1502"/>
      <c r="M31" s="1502"/>
      <c r="N31" s="1604"/>
      <c r="O31" s="1615"/>
      <c r="P31" s="1615"/>
      <c r="Q31" s="1615"/>
      <c r="R31" s="1615"/>
      <c r="S31" s="1615"/>
      <c r="T31" s="1615"/>
      <c r="U31" s="1615"/>
    </row>
    <row r="32" spans="1:23" s="742" customFormat="1" ht="13.2">
      <c r="A32" s="1612" t="s">
        <v>762</v>
      </c>
      <c r="B32" s="1613">
        <v>8</v>
      </c>
      <c r="C32" s="1624">
        <v>15</v>
      </c>
      <c r="D32" s="1613">
        <v>19</v>
      </c>
      <c r="E32" s="1624">
        <f t="shared" si="0"/>
        <v>34</v>
      </c>
      <c r="F32" s="1625">
        <v>15</v>
      </c>
      <c r="G32" s="1625">
        <v>19</v>
      </c>
      <c r="H32" s="1625">
        <v>34</v>
      </c>
      <c r="I32" s="1626">
        <v>5</v>
      </c>
      <c r="J32" s="1626">
        <v>2</v>
      </c>
      <c r="K32" s="1626">
        <v>7</v>
      </c>
      <c r="L32" s="1613"/>
      <c r="M32" s="1613"/>
      <c r="N32" s="1614"/>
      <c r="O32" s="1615"/>
      <c r="P32" s="1615"/>
      <c r="Q32" s="1615"/>
      <c r="R32" s="1615"/>
      <c r="S32" s="1615"/>
      <c r="T32" s="1615"/>
      <c r="U32" s="1615"/>
    </row>
    <row r="33" spans="1:21" s="742" customFormat="1" ht="13.2">
      <c r="A33" s="1627" t="s">
        <v>406</v>
      </c>
      <c r="B33" s="1502">
        <v>2</v>
      </c>
      <c r="C33" s="1501"/>
      <c r="D33" s="1502">
        <v>2</v>
      </c>
      <c r="E33" s="1509">
        <f t="shared" si="0"/>
        <v>2</v>
      </c>
      <c r="F33" s="1602">
        <v>0</v>
      </c>
      <c r="G33" s="1602">
        <v>2</v>
      </c>
      <c r="H33" s="1603">
        <v>2</v>
      </c>
      <c r="I33" s="1507"/>
      <c r="J33" s="1507">
        <v>1</v>
      </c>
      <c r="K33" s="1508">
        <v>1</v>
      </c>
      <c r="L33" s="1502"/>
      <c r="M33" s="1502"/>
      <c r="N33" s="1604"/>
      <c r="O33" s="1615"/>
      <c r="P33" s="1615"/>
      <c r="Q33" s="1615"/>
      <c r="R33" s="1615"/>
      <c r="S33" s="1615"/>
      <c r="T33" s="1615"/>
      <c r="U33" s="1615"/>
    </row>
    <row r="34" spans="1:21" s="742" customFormat="1" ht="13.2">
      <c r="A34" s="1612" t="s">
        <v>763</v>
      </c>
      <c r="B34" s="1613">
        <v>2</v>
      </c>
      <c r="C34" s="1624"/>
      <c r="D34" s="1613">
        <v>2</v>
      </c>
      <c r="E34" s="1624">
        <f t="shared" si="0"/>
        <v>2</v>
      </c>
      <c r="F34" s="1625">
        <v>0</v>
      </c>
      <c r="G34" s="1625">
        <v>2</v>
      </c>
      <c r="H34" s="1625">
        <v>2</v>
      </c>
      <c r="I34" s="1626"/>
      <c r="J34" s="1626">
        <v>1</v>
      </c>
      <c r="K34" s="1626">
        <v>1</v>
      </c>
      <c r="L34" s="1613"/>
      <c r="M34" s="1613"/>
      <c r="N34" s="1614"/>
      <c r="O34" s="1615"/>
      <c r="P34" s="1615"/>
      <c r="Q34" s="1615"/>
      <c r="R34" s="1615"/>
      <c r="S34" s="1615"/>
      <c r="T34" s="1615"/>
      <c r="U34" s="1615"/>
    </row>
    <row r="35" spans="1:21" s="742" customFormat="1" ht="13.2">
      <c r="A35" s="1601" t="s">
        <v>764</v>
      </c>
      <c r="B35" s="1502">
        <v>13</v>
      </c>
      <c r="C35" s="1501">
        <v>50</v>
      </c>
      <c r="D35" s="1502">
        <v>61</v>
      </c>
      <c r="E35" s="1509">
        <f t="shared" si="0"/>
        <v>111</v>
      </c>
      <c r="F35" s="1602">
        <v>47</v>
      </c>
      <c r="G35" s="1602">
        <v>53</v>
      </c>
      <c r="H35" s="1603">
        <v>100</v>
      </c>
      <c r="I35" s="1507">
        <v>5</v>
      </c>
      <c r="J35" s="1507">
        <v>4</v>
      </c>
      <c r="K35" s="1508">
        <v>9</v>
      </c>
      <c r="L35" s="1502">
        <v>1</v>
      </c>
      <c r="M35" s="1502">
        <v>3</v>
      </c>
      <c r="N35" s="1604">
        <v>4</v>
      </c>
      <c r="O35" s="1615"/>
      <c r="P35" s="1615"/>
      <c r="Q35" s="1615"/>
      <c r="R35" s="1615"/>
      <c r="S35" s="1615"/>
      <c r="T35" s="1615"/>
      <c r="U35" s="1615"/>
    </row>
    <row r="36" spans="1:21" s="742" customFormat="1" ht="13.2">
      <c r="A36" s="1601" t="s">
        <v>408</v>
      </c>
      <c r="B36" s="1502">
        <v>13</v>
      </c>
      <c r="C36" s="1501">
        <v>34</v>
      </c>
      <c r="D36" s="1502">
        <v>89</v>
      </c>
      <c r="E36" s="1509">
        <f t="shared" si="0"/>
        <v>123</v>
      </c>
      <c r="F36" s="1602">
        <v>34</v>
      </c>
      <c r="G36" s="1602">
        <v>89</v>
      </c>
      <c r="H36" s="1603">
        <v>123</v>
      </c>
      <c r="I36" s="1507">
        <v>4</v>
      </c>
      <c r="J36" s="1507">
        <v>6</v>
      </c>
      <c r="K36" s="1508">
        <v>10</v>
      </c>
      <c r="L36" s="1502"/>
      <c r="M36" s="1502">
        <v>3</v>
      </c>
      <c r="N36" s="1604">
        <v>3</v>
      </c>
      <c r="O36" s="1615"/>
      <c r="P36" s="1615"/>
      <c r="Q36" s="1615"/>
      <c r="R36" s="1615"/>
      <c r="S36" s="1615"/>
      <c r="T36" s="1615"/>
      <c r="U36" s="1615"/>
    </row>
    <row r="37" spans="1:21" s="742" customFormat="1" ht="13.2">
      <c r="A37" s="1601" t="s">
        <v>409</v>
      </c>
      <c r="B37" s="1502">
        <v>5</v>
      </c>
      <c r="C37" s="1501">
        <v>12</v>
      </c>
      <c r="D37" s="1502">
        <v>74</v>
      </c>
      <c r="E37" s="1509">
        <f t="shared" si="0"/>
        <v>86</v>
      </c>
      <c r="F37" s="1602">
        <v>12</v>
      </c>
      <c r="G37" s="1602">
        <v>74</v>
      </c>
      <c r="H37" s="1603">
        <v>86</v>
      </c>
      <c r="I37" s="1507">
        <v>1</v>
      </c>
      <c r="J37" s="1507">
        <v>1</v>
      </c>
      <c r="K37" s="1508">
        <v>2</v>
      </c>
      <c r="L37" s="1502">
        <v>1</v>
      </c>
      <c r="M37" s="1502">
        <v>2</v>
      </c>
      <c r="N37" s="1604">
        <v>3</v>
      </c>
      <c r="O37" s="1615"/>
      <c r="P37" s="1615"/>
      <c r="Q37" s="1615"/>
      <c r="R37" s="1615"/>
      <c r="S37" s="1615"/>
      <c r="T37" s="1615"/>
      <c r="U37" s="1615"/>
    </row>
    <row r="38" spans="1:21" s="742" customFormat="1" ht="13.2">
      <c r="A38" s="1601" t="s">
        <v>765</v>
      </c>
      <c r="B38" s="1502">
        <v>7</v>
      </c>
      <c r="C38" s="1501">
        <v>10</v>
      </c>
      <c r="D38" s="1502">
        <v>39</v>
      </c>
      <c r="E38" s="1509">
        <f t="shared" si="0"/>
        <v>49</v>
      </c>
      <c r="F38" s="1602">
        <v>10</v>
      </c>
      <c r="G38" s="1602">
        <v>39</v>
      </c>
      <c r="H38" s="1603">
        <v>49</v>
      </c>
      <c r="I38" s="1507">
        <v>1</v>
      </c>
      <c r="J38" s="1507">
        <v>5</v>
      </c>
      <c r="K38" s="1508">
        <v>6</v>
      </c>
      <c r="L38" s="1502"/>
      <c r="M38" s="1502">
        <v>1</v>
      </c>
      <c r="N38" s="1604">
        <v>1</v>
      </c>
      <c r="O38" s="1615"/>
      <c r="P38" s="1615"/>
      <c r="Q38" s="1615"/>
      <c r="R38" s="1615"/>
      <c r="S38" s="1615"/>
      <c r="T38" s="1615"/>
      <c r="U38" s="1615"/>
    </row>
    <row r="39" spans="1:21" s="742" customFormat="1" ht="13.2">
      <c r="A39" s="1601" t="s">
        <v>411</v>
      </c>
      <c r="B39" s="1502">
        <v>1</v>
      </c>
      <c r="C39" s="1501"/>
      <c r="D39" s="1502">
        <v>6</v>
      </c>
      <c r="E39" s="1509">
        <f t="shared" si="0"/>
        <v>6</v>
      </c>
      <c r="F39" s="1602">
        <v>0</v>
      </c>
      <c r="G39" s="1602">
        <v>6</v>
      </c>
      <c r="H39" s="1603">
        <v>6</v>
      </c>
      <c r="I39" s="1507"/>
      <c r="J39" s="1507">
        <v>1</v>
      </c>
      <c r="K39" s="1508">
        <v>1</v>
      </c>
      <c r="L39" s="1502"/>
      <c r="M39" s="1502"/>
      <c r="N39" s="1604"/>
      <c r="O39" s="1615"/>
      <c r="P39" s="1615"/>
      <c r="Q39" s="1615"/>
      <c r="R39" s="1615"/>
      <c r="S39" s="1615"/>
      <c r="T39" s="1615"/>
      <c r="U39" s="1615"/>
    </row>
    <row r="40" spans="1:21" s="742" customFormat="1" ht="13.2">
      <c r="A40" s="1601" t="s">
        <v>766</v>
      </c>
      <c r="B40" s="1502">
        <v>1</v>
      </c>
      <c r="C40" s="1501"/>
      <c r="D40" s="1502">
        <v>5</v>
      </c>
      <c r="E40" s="1509">
        <f t="shared" si="0"/>
        <v>5</v>
      </c>
      <c r="F40" s="1602">
        <v>0</v>
      </c>
      <c r="G40" s="1602">
        <v>5</v>
      </c>
      <c r="H40" s="1603">
        <v>5</v>
      </c>
      <c r="I40" s="1507"/>
      <c r="J40" s="1507">
        <v>1</v>
      </c>
      <c r="K40" s="1508">
        <v>1</v>
      </c>
      <c r="L40" s="1502"/>
      <c r="M40" s="1502"/>
      <c r="N40" s="1604"/>
      <c r="O40" s="1615"/>
      <c r="P40" s="1615"/>
      <c r="Q40" s="1615"/>
      <c r="R40" s="1615"/>
      <c r="S40" s="1615"/>
      <c r="T40" s="1615"/>
      <c r="U40" s="1615"/>
    </row>
    <row r="41" spans="1:21" s="742" customFormat="1" ht="13.2">
      <c r="A41" s="1612" t="s">
        <v>767</v>
      </c>
      <c r="B41" s="1613">
        <v>40</v>
      </c>
      <c r="C41" s="1624">
        <v>106</v>
      </c>
      <c r="D41" s="1613">
        <v>274</v>
      </c>
      <c r="E41" s="1624">
        <f t="shared" si="0"/>
        <v>380</v>
      </c>
      <c r="F41" s="1625">
        <v>91</v>
      </c>
      <c r="G41" s="1625">
        <v>217</v>
      </c>
      <c r="H41" s="1625">
        <v>308</v>
      </c>
      <c r="I41" s="1626">
        <v>11</v>
      </c>
      <c r="J41" s="1626">
        <v>18</v>
      </c>
      <c r="K41" s="1626">
        <v>29</v>
      </c>
      <c r="L41" s="1613">
        <v>2</v>
      </c>
      <c r="M41" s="1613">
        <v>9</v>
      </c>
      <c r="N41" s="1614">
        <v>11</v>
      </c>
      <c r="O41" s="1615"/>
      <c r="P41" s="1615"/>
      <c r="Q41" s="1615"/>
      <c r="R41" s="1615"/>
      <c r="S41" s="1615"/>
      <c r="T41" s="1615"/>
      <c r="U41" s="1615"/>
    </row>
    <row r="42" spans="1:21" s="742" customFormat="1" ht="13.2">
      <c r="A42" s="1601" t="s">
        <v>175</v>
      </c>
      <c r="B42" s="1502">
        <v>16</v>
      </c>
      <c r="C42" s="1501">
        <v>28</v>
      </c>
      <c r="D42" s="1502">
        <v>83</v>
      </c>
      <c r="E42" s="1509">
        <f t="shared" si="0"/>
        <v>111</v>
      </c>
      <c r="F42" s="1602">
        <v>28</v>
      </c>
      <c r="G42" s="1602">
        <v>80</v>
      </c>
      <c r="H42" s="1603">
        <v>108</v>
      </c>
      <c r="I42" s="1507">
        <v>2</v>
      </c>
      <c r="J42" s="1507">
        <v>12</v>
      </c>
      <c r="K42" s="1508">
        <v>14</v>
      </c>
      <c r="L42" s="1502">
        <v>1</v>
      </c>
      <c r="M42" s="1502">
        <v>1</v>
      </c>
      <c r="N42" s="1604">
        <v>2</v>
      </c>
      <c r="O42" s="1615"/>
      <c r="P42" s="1615"/>
      <c r="Q42" s="1615"/>
      <c r="R42" s="1615"/>
      <c r="S42" s="1615"/>
      <c r="T42" s="1615"/>
      <c r="U42" s="1615"/>
    </row>
    <row r="43" spans="1:21" s="742" customFormat="1" ht="13.2">
      <c r="A43" s="1612" t="s">
        <v>768</v>
      </c>
      <c r="B43" s="1613">
        <v>16</v>
      </c>
      <c r="C43" s="1624">
        <v>28</v>
      </c>
      <c r="D43" s="1613">
        <v>83</v>
      </c>
      <c r="E43" s="1624">
        <f t="shared" si="0"/>
        <v>111</v>
      </c>
      <c r="F43" s="1625">
        <v>28</v>
      </c>
      <c r="G43" s="1625">
        <v>80</v>
      </c>
      <c r="H43" s="1625">
        <v>108</v>
      </c>
      <c r="I43" s="1626">
        <v>2</v>
      </c>
      <c r="J43" s="1626">
        <v>12</v>
      </c>
      <c r="K43" s="1626">
        <v>14</v>
      </c>
      <c r="L43" s="1613">
        <v>1</v>
      </c>
      <c r="M43" s="1613">
        <v>1</v>
      </c>
      <c r="N43" s="1614">
        <v>2</v>
      </c>
      <c r="O43" s="1615"/>
      <c r="P43" s="1615"/>
      <c r="Q43" s="1615"/>
      <c r="R43" s="1615"/>
      <c r="S43" s="1615"/>
      <c r="T43" s="1615"/>
      <c r="U43" s="1615"/>
    </row>
    <row r="44" spans="1:21" s="742" customFormat="1" ht="13.2">
      <c r="A44" s="1601" t="s">
        <v>415</v>
      </c>
      <c r="B44" s="1502">
        <v>2</v>
      </c>
      <c r="C44" s="1501">
        <v>15</v>
      </c>
      <c r="D44" s="1502">
        <v>64</v>
      </c>
      <c r="E44" s="1509">
        <f t="shared" si="0"/>
        <v>79</v>
      </c>
      <c r="F44" s="1602">
        <v>15</v>
      </c>
      <c r="G44" s="1602">
        <v>64</v>
      </c>
      <c r="H44" s="1603">
        <v>79</v>
      </c>
      <c r="I44" s="1507"/>
      <c r="J44" s="1507">
        <v>2</v>
      </c>
      <c r="K44" s="1508">
        <v>2</v>
      </c>
      <c r="L44" s="1502"/>
      <c r="M44" s="1502"/>
      <c r="N44" s="1604"/>
      <c r="O44" s="1615"/>
      <c r="P44" s="1615"/>
      <c r="Q44" s="1615"/>
      <c r="R44" s="1615"/>
      <c r="S44" s="1615"/>
      <c r="T44" s="1615"/>
      <c r="U44" s="1615"/>
    </row>
    <row r="45" spans="1:21" s="742" customFormat="1" ht="13.2">
      <c r="A45" s="1601" t="s">
        <v>416</v>
      </c>
      <c r="B45" s="1502">
        <v>7</v>
      </c>
      <c r="C45" s="1501">
        <v>15</v>
      </c>
      <c r="D45" s="1502">
        <v>18</v>
      </c>
      <c r="E45" s="1509">
        <f t="shared" si="0"/>
        <v>33</v>
      </c>
      <c r="F45" s="1602">
        <v>15</v>
      </c>
      <c r="G45" s="1602">
        <v>18</v>
      </c>
      <c r="H45" s="1603">
        <v>33</v>
      </c>
      <c r="I45" s="1507">
        <v>1</v>
      </c>
      <c r="J45" s="1507">
        <v>1</v>
      </c>
      <c r="K45" s="1508">
        <v>2</v>
      </c>
      <c r="L45" s="1502">
        <v>2</v>
      </c>
      <c r="M45" s="1502">
        <v>1</v>
      </c>
      <c r="N45" s="1604">
        <v>3</v>
      </c>
      <c r="O45" s="1615"/>
      <c r="P45" s="1615"/>
      <c r="Q45" s="1615"/>
      <c r="R45" s="1615"/>
      <c r="S45" s="1615"/>
      <c r="T45" s="1615"/>
      <c r="U45" s="1615"/>
    </row>
    <row r="46" spans="1:21" s="742" customFormat="1" ht="13.2">
      <c r="A46" s="1601" t="s">
        <v>417</v>
      </c>
      <c r="B46" s="1502">
        <v>12</v>
      </c>
      <c r="C46" s="1501">
        <v>21</v>
      </c>
      <c r="D46" s="1502">
        <v>22</v>
      </c>
      <c r="E46" s="1509">
        <f t="shared" si="0"/>
        <v>43</v>
      </c>
      <c r="F46" s="1602">
        <v>20</v>
      </c>
      <c r="G46" s="1602">
        <v>17</v>
      </c>
      <c r="H46" s="1603">
        <v>37</v>
      </c>
      <c r="I46" s="1507">
        <v>6</v>
      </c>
      <c r="J46" s="1507">
        <v>2</v>
      </c>
      <c r="K46" s="1508">
        <v>8</v>
      </c>
      <c r="L46" s="1502">
        <v>1</v>
      </c>
      <c r="M46" s="1502"/>
      <c r="N46" s="1604">
        <v>1</v>
      </c>
      <c r="O46" s="1615"/>
      <c r="P46" s="1615"/>
      <c r="Q46" s="1615"/>
      <c r="R46" s="1615"/>
      <c r="S46" s="1615"/>
      <c r="T46" s="1615"/>
      <c r="U46" s="1615"/>
    </row>
    <row r="47" spans="1:21" s="742" customFormat="1" ht="13.2">
      <c r="A47" s="1601" t="s">
        <v>579</v>
      </c>
      <c r="B47" s="1502">
        <v>1</v>
      </c>
      <c r="C47" s="1501"/>
      <c r="D47" s="1502">
        <v>5</v>
      </c>
      <c r="E47" s="1509">
        <f t="shared" si="0"/>
        <v>5</v>
      </c>
      <c r="F47" s="1602">
        <v>0</v>
      </c>
      <c r="G47" s="1602">
        <v>5</v>
      </c>
      <c r="H47" s="1603">
        <v>5</v>
      </c>
      <c r="I47" s="1507"/>
      <c r="J47" s="1507">
        <v>1</v>
      </c>
      <c r="K47" s="1508">
        <v>1</v>
      </c>
      <c r="L47" s="1502"/>
      <c r="M47" s="1502"/>
      <c r="N47" s="1604"/>
      <c r="O47" s="1615"/>
      <c r="P47" s="1615"/>
      <c r="Q47" s="1615"/>
      <c r="R47" s="1615"/>
      <c r="S47" s="1615"/>
      <c r="T47" s="1615"/>
      <c r="U47" s="1615"/>
    </row>
    <row r="48" spans="1:21" s="742" customFormat="1" ht="13.2">
      <c r="A48" s="1627" t="s">
        <v>418</v>
      </c>
      <c r="B48" s="1502">
        <v>6</v>
      </c>
      <c r="C48" s="1501">
        <v>8</v>
      </c>
      <c r="D48" s="1502">
        <v>14</v>
      </c>
      <c r="E48" s="1509">
        <f t="shared" si="0"/>
        <v>22</v>
      </c>
      <c r="F48" s="1602">
        <v>8</v>
      </c>
      <c r="G48" s="1602">
        <v>14</v>
      </c>
      <c r="H48" s="1603">
        <v>22</v>
      </c>
      <c r="I48" s="1507">
        <v>2</v>
      </c>
      <c r="J48" s="1507">
        <v>1</v>
      </c>
      <c r="K48" s="1508">
        <v>3</v>
      </c>
      <c r="L48" s="1502"/>
      <c r="M48" s="1502">
        <v>1</v>
      </c>
      <c r="N48" s="1604">
        <v>1</v>
      </c>
      <c r="O48" s="1615"/>
      <c r="P48" s="1615"/>
      <c r="Q48" s="1615"/>
      <c r="R48" s="1615"/>
      <c r="S48" s="1615"/>
      <c r="T48" s="1615"/>
      <c r="U48" s="1615"/>
    </row>
    <row r="49" spans="1:21" s="742" customFormat="1" ht="13.2">
      <c r="A49" s="1612" t="s">
        <v>769</v>
      </c>
      <c r="B49" s="1613">
        <v>28</v>
      </c>
      <c r="C49" s="1624">
        <v>59</v>
      </c>
      <c r="D49" s="1613">
        <v>123</v>
      </c>
      <c r="E49" s="1624">
        <f t="shared" si="0"/>
        <v>182</v>
      </c>
      <c r="F49" s="1625">
        <v>57</v>
      </c>
      <c r="G49" s="1625">
        <v>111</v>
      </c>
      <c r="H49" s="1625">
        <v>168</v>
      </c>
      <c r="I49" s="1626">
        <v>9</v>
      </c>
      <c r="J49" s="1626">
        <v>7</v>
      </c>
      <c r="K49" s="1626">
        <v>16</v>
      </c>
      <c r="L49" s="1613">
        <v>3</v>
      </c>
      <c r="M49" s="1613">
        <v>2</v>
      </c>
      <c r="N49" s="1614">
        <v>5</v>
      </c>
      <c r="O49" s="1615"/>
      <c r="P49" s="1615"/>
      <c r="Q49" s="1615"/>
      <c r="R49" s="1615"/>
      <c r="S49" s="1615"/>
      <c r="T49" s="1615"/>
      <c r="U49" s="1615"/>
    </row>
    <row r="50" spans="1:21" s="742" customFormat="1" ht="13.2">
      <c r="A50" s="1601" t="s">
        <v>199</v>
      </c>
      <c r="B50" s="1502">
        <v>4</v>
      </c>
      <c r="C50" s="1501">
        <v>1</v>
      </c>
      <c r="D50" s="1502">
        <v>7</v>
      </c>
      <c r="E50" s="1509">
        <f t="shared" si="0"/>
        <v>8</v>
      </c>
      <c r="F50" s="1602">
        <v>1</v>
      </c>
      <c r="G50" s="1602">
        <v>7</v>
      </c>
      <c r="H50" s="1603">
        <v>8</v>
      </c>
      <c r="I50" s="1507"/>
      <c r="J50" s="1507">
        <v>2</v>
      </c>
      <c r="K50" s="1508">
        <v>2</v>
      </c>
      <c r="L50" s="1502">
        <v>1</v>
      </c>
      <c r="M50" s="1502"/>
      <c r="N50" s="1604">
        <v>1</v>
      </c>
      <c r="O50" s="1615"/>
      <c r="P50" s="1615"/>
      <c r="Q50" s="1615"/>
      <c r="R50" s="1615"/>
      <c r="S50" s="1615"/>
      <c r="T50" s="1615"/>
      <c r="U50" s="1615"/>
    </row>
    <row r="51" spans="1:21" s="742" customFormat="1" ht="13.2">
      <c r="A51" s="1612" t="s">
        <v>770</v>
      </c>
      <c r="B51" s="1613">
        <v>4</v>
      </c>
      <c r="C51" s="1624">
        <v>1</v>
      </c>
      <c r="D51" s="1613">
        <v>7</v>
      </c>
      <c r="E51" s="1624">
        <f t="shared" si="0"/>
        <v>8</v>
      </c>
      <c r="F51" s="1625">
        <v>1</v>
      </c>
      <c r="G51" s="1625">
        <v>7</v>
      </c>
      <c r="H51" s="1625">
        <v>8</v>
      </c>
      <c r="I51" s="1626"/>
      <c r="J51" s="1626">
        <v>2</v>
      </c>
      <c r="K51" s="1626">
        <v>2</v>
      </c>
      <c r="L51" s="1613">
        <v>1</v>
      </c>
      <c r="M51" s="1613"/>
      <c r="N51" s="1614">
        <v>1</v>
      </c>
      <c r="O51" s="1615"/>
      <c r="P51" s="1615"/>
      <c r="Q51" s="1615"/>
      <c r="R51" s="1615"/>
      <c r="S51" s="1615"/>
      <c r="T51" s="1615"/>
      <c r="U51" s="1615"/>
    </row>
    <row r="52" spans="1:21" s="742" customFormat="1" ht="13.2">
      <c r="A52" s="1601" t="s">
        <v>422</v>
      </c>
      <c r="B52" s="1502">
        <v>14</v>
      </c>
      <c r="C52" s="1501">
        <v>15</v>
      </c>
      <c r="D52" s="1502">
        <v>79</v>
      </c>
      <c r="E52" s="1509">
        <f t="shared" si="0"/>
        <v>94</v>
      </c>
      <c r="F52" s="1602">
        <v>15</v>
      </c>
      <c r="G52" s="1602">
        <v>71</v>
      </c>
      <c r="H52" s="1603">
        <v>86</v>
      </c>
      <c r="I52" s="1507">
        <v>1</v>
      </c>
      <c r="J52" s="1507">
        <v>13</v>
      </c>
      <c r="K52" s="1508">
        <v>14</v>
      </c>
      <c r="L52" s="1502"/>
      <c r="M52" s="1502"/>
      <c r="N52" s="1604"/>
      <c r="O52" s="1615"/>
      <c r="P52" s="1615"/>
      <c r="Q52" s="1615"/>
      <c r="R52" s="1615"/>
      <c r="S52" s="1615"/>
      <c r="T52" s="1615"/>
      <c r="U52" s="1615"/>
    </row>
    <row r="53" spans="1:21" s="742" customFormat="1" ht="13.2">
      <c r="A53" s="1601" t="s">
        <v>423</v>
      </c>
      <c r="B53" s="1502">
        <v>4</v>
      </c>
      <c r="C53" s="1501">
        <v>1</v>
      </c>
      <c r="D53" s="1502">
        <v>4</v>
      </c>
      <c r="E53" s="1509">
        <f t="shared" si="0"/>
        <v>5</v>
      </c>
      <c r="F53" s="1602">
        <v>1</v>
      </c>
      <c r="G53" s="1602">
        <v>4</v>
      </c>
      <c r="H53" s="1603">
        <v>5</v>
      </c>
      <c r="I53" s="1507"/>
      <c r="J53" s="1507">
        <v>2</v>
      </c>
      <c r="K53" s="1508">
        <v>2</v>
      </c>
      <c r="L53" s="1502"/>
      <c r="M53" s="1502">
        <v>1</v>
      </c>
      <c r="N53" s="1604">
        <v>1</v>
      </c>
      <c r="O53" s="1615"/>
      <c r="P53" s="1615"/>
      <c r="Q53" s="1615"/>
      <c r="R53" s="1615"/>
      <c r="S53" s="1615"/>
      <c r="T53" s="1615"/>
      <c r="U53" s="1615"/>
    </row>
    <row r="54" spans="1:21" s="742" customFormat="1" ht="13.2">
      <c r="A54" s="1601" t="s">
        <v>424</v>
      </c>
      <c r="B54" s="1502">
        <v>13</v>
      </c>
      <c r="C54" s="1501">
        <v>32</v>
      </c>
      <c r="D54" s="1502">
        <v>30</v>
      </c>
      <c r="E54" s="1509">
        <f t="shared" si="0"/>
        <v>62</v>
      </c>
      <c r="F54" s="1602">
        <v>31</v>
      </c>
      <c r="G54" s="1602">
        <v>30</v>
      </c>
      <c r="H54" s="1603">
        <v>61</v>
      </c>
      <c r="I54" s="1507">
        <v>7</v>
      </c>
      <c r="J54" s="1507">
        <v>3</v>
      </c>
      <c r="K54" s="1508">
        <v>10</v>
      </c>
      <c r="L54" s="1502"/>
      <c r="M54" s="1502"/>
      <c r="N54" s="1604"/>
      <c r="O54" s="1615"/>
      <c r="P54" s="1615"/>
      <c r="Q54" s="1615"/>
      <c r="R54" s="1615"/>
      <c r="S54" s="1615"/>
      <c r="T54" s="1615"/>
      <c r="U54" s="1615"/>
    </row>
    <row r="55" spans="1:21" s="742" customFormat="1" ht="13.2">
      <c r="A55" s="1601" t="s">
        <v>425</v>
      </c>
      <c r="B55" s="1502">
        <v>4</v>
      </c>
      <c r="C55" s="1501">
        <v>3</v>
      </c>
      <c r="D55" s="1502">
        <v>7</v>
      </c>
      <c r="E55" s="1509">
        <f t="shared" si="0"/>
        <v>10</v>
      </c>
      <c r="F55" s="1602">
        <v>3</v>
      </c>
      <c r="G55" s="1602">
        <v>7</v>
      </c>
      <c r="H55" s="1603">
        <v>10</v>
      </c>
      <c r="I55" s="1507"/>
      <c r="J55" s="1507">
        <v>2</v>
      </c>
      <c r="K55" s="1508">
        <v>2</v>
      </c>
      <c r="L55" s="1502">
        <v>1</v>
      </c>
      <c r="M55" s="1502"/>
      <c r="N55" s="1604">
        <v>1</v>
      </c>
      <c r="O55" s="1615"/>
      <c r="P55" s="1615"/>
      <c r="Q55" s="1615"/>
      <c r="R55" s="1615"/>
      <c r="S55" s="1615"/>
      <c r="T55" s="1615"/>
      <c r="U55" s="1615"/>
    </row>
    <row r="56" spans="1:21" s="742" customFormat="1" ht="13.2">
      <c r="A56" s="1601" t="s">
        <v>426</v>
      </c>
      <c r="B56" s="1502">
        <v>2</v>
      </c>
      <c r="C56" s="1501"/>
      <c r="D56" s="1502">
        <v>2</v>
      </c>
      <c r="E56" s="1509">
        <f t="shared" si="0"/>
        <v>2</v>
      </c>
      <c r="F56" s="1602">
        <v>0</v>
      </c>
      <c r="G56" s="1602">
        <v>2</v>
      </c>
      <c r="H56" s="1603">
        <v>2</v>
      </c>
      <c r="I56" s="1507"/>
      <c r="J56" s="1507">
        <v>1</v>
      </c>
      <c r="K56" s="1508">
        <v>1</v>
      </c>
      <c r="L56" s="1502"/>
      <c r="M56" s="1502"/>
      <c r="N56" s="1604"/>
      <c r="O56" s="1615"/>
      <c r="P56" s="1615"/>
      <c r="Q56" s="1615"/>
      <c r="R56" s="1615"/>
      <c r="S56" s="1615"/>
      <c r="T56" s="1615"/>
      <c r="U56" s="1615"/>
    </row>
    <row r="57" spans="1:21" s="742" customFormat="1" ht="13.2">
      <c r="A57" s="1601" t="s">
        <v>427</v>
      </c>
      <c r="B57" s="1502">
        <v>5</v>
      </c>
      <c r="C57" s="1501">
        <v>7</v>
      </c>
      <c r="D57" s="1502">
        <v>15</v>
      </c>
      <c r="E57" s="1509">
        <f t="shared" si="0"/>
        <v>22</v>
      </c>
      <c r="F57" s="1602">
        <v>7</v>
      </c>
      <c r="G57" s="1602">
        <v>15</v>
      </c>
      <c r="H57" s="1603">
        <v>22</v>
      </c>
      <c r="I57" s="1507">
        <v>1</v>
      </c>
      <c r="J57" s="1507">
        <v>4</v>
      </c>
      <c r="K57" s="1508">
        <v>5</v>
      </c>
      <c r="L57" s="1502"/>
      <c r="M57" s="1502"/>
      <c r="N57" s="1604"/>
      <c r="O57" s="1615"/>
      <c r="P57" s="1615"/>
      <c r="Q57" s="1615"/>
      <c r="R57" s="1615"/>
      <c r="S57" s="1615"/>
      <c r="T57" s="1615"/>
      <c r="U57" s="1615"/>
    </row>
    <row r="58" spans="1:21" s="742" customFormat="1" ht="13.2">
      <c r="A58" s="1601" t="s">
        <v>771</v>
      </c>
      <c r="B58" s="1502">
        <v>2</v>
      </c>
      <c r="C58" s="1501">
        <v>3</v>
      </c>
      <c r="D58" s="1502">
        <v>3</v>
      </c>
      <c r="E58" s="1509">
        <f t="shared" si="0"/>
        <v>6</v>
      </c>
      <c r="F58" s="1602">
        <v>3</v>
      </c>
      <c r="G58" s="1602">
        <v>3</v>
      </c>
      <c r="H58" s="1603">
        <v>6</v>
      </c>
      <c r="I58" s="1507">
        <v>1</v>
      </c>
      <c r="J58" s="1507">
        <v>1</v>
      </c>
      <c r="K58" s="1508">
        <v>2</v>
      </c>
      <c r="L58" s="1502"/>
      <c r="M58" s="1502"/>
      <c r="N58" s="1604"/>
      <c r="O58" s="1615"/>
      <c r="P58" s="1615"/>
      <c r="Q58" s="1615"/>
      <c r="R58" s="1615"/>
      <c r="S58" s="1615"/>
      <c r="T58" s="1615"/>
      <c r="U58" s="1615"/>
    </row>
    <row r="59" spans="1:21" s="742" customFormat="1" ht="13.2">
      <c r="A59" s="1601" t="s">
        <v>772</v>
      </c>
      <c r="B59" s="1502">
        <v>1</v>
      </c>
      <c r="C59" s="1501"/>
      <c r="D59" s="1502">
        <v>1</v>
      </c>
      <c r="E59" s="1509">
        <f t="shared" si="0"/>
        <v>1</v>
      </c>
      <c r="F59" s="1602">
        <v>0</v>
      </c>
      <c r="G59" s="1602">
        <v>1</v>
      </c>
      <c r="H59" s="1603">
        <v>1</v>
      </c>
      <c r="I59" s="1507"/>
      <c r="J59" s="1507">
        <v>1</v>
      </c>
      <c r="K59" s="1508">
        <v>1</v>
      </c>
      <c r="L59" s="1502"/>
      <c r="M59" s="1502"/>
      <c r="N59" s="1604"/>
      <c r="O59" s="1615"/>
      <c r="P59" s="1615"/>
      <c r="Q59" s="1615"/>
      <c r="R59" s="1615"/>
      <c r="S59" s="1615"/>
      <c r="T59" s="1615"/>
      <c r="U59" s="1615"/>
    </row>
    <row r="60" spans="1:21" s="742" customFormat="1" ht="13.2">
      <c r="A60" s="1612" t="s">
        <v>773</v>
      </c>
      <c r="B60" s="1613">
        <v>45</v>
      </c>
      <c r="C60" s="1624">
        <v>61</v>
      </c>
      <c r="D60" s="1613">
        <v>141</v>
      </c>
      <c r="E60" s="1624">
        <f t="shared" si="0"/>
        <v>202</v>
      </c>
      <c r="F60" s="1625">
        <v>56</v>
      </c>
      <c r="G60" s="1625">
        <v>124</v>
      </c>
      <c r="H60" s="1625">
        <v>180</v>
      </c>
      <c r="I60" s="1626">
        <v>10</v>
      </c>
      <c r="J60" s="1626">
        <v>27</v>
      </c>
      <c r="K60" s="1626">
        <v>37</v>
      </c>
      <c r="L60" s="1613">
        <v>1</v>
      </c>
      <c r="M60" s="1613">
        <v>1</v>
      </c>
      <c r="N60" s="1614">
        <v>2</v>
      </c>
      <c r="O60" s="1615"/>
      <c r="P60" s="1615"/>
      <c r="Q60" s="1615"/>
      <c r="R60" s="1615"/>
      <c r="S60" s="1615"/>
      <c r="T60" s="1615"/>
      <c r="U60" s="1615"/>
    </row>
    <row r="61" spans="1:21" s="742" customFormat="1" ht="13.2">
      <c r="A61" s="1601" t="s">
        <v>178</v>
      </c>
      <c r="B61" s="1502">
        <v>10</v>
      </c>
      <c r="C61" s="1501">
        <v>12</v>
      </c>
      <c r="D61" s="1502">
        <v>43</v>
      </c>
      <c r="E61" s="1509">
        <f t="shared" si="0"/>
        <v>55</v>
      </c>
      <c r="F61" s="1602">
        <v>12</v>
      </c>
      <c r="G61" s="1602">
        <v>42</v>
      </c>
      <c r="H61" s="1603">
        <v>54</v>
      </c>
      <c r="I61" s="1507">
        <v>3</v>
      </c>
      <c r="J61" s="1507">
        <v>7</v>
      </c>
      <c r="K61" s="1508">
        <v>10</v>
      </c>
      <c r="L61" s="1502"/>
      <c r="M61" s="1502"/>
      <c r="N61" s="1604"/>
      <c r="O61" s="1615"/>
      <c r="P61" s="1615"/>
      <c r="Q61" s="1615"/>
      <c r="R61" s="1615"/>
      <c r="S61" s="1615"/>
      <c r="T61" s="1615"/>
      <c r="U61" s="1615"/>
    </row>
    <row r="62" spans="1:21" s="742" customFormat="1" ht="13.2">
      <c r="A62" s="1612" t="s">
        <v>774</v>
      </c>
      <c r="B62" s="1613">
        <v>10</v>
      </c>
      <c r="C62" s="1624">
        <v>12</v>
      </c>
      <c r="D62" s="1613">
        <v>43</v>
      </c>
      <c r="E62" s="1624">
        <f t="shared" si="0"/>
        <v>55</v>
      </c>
      <c r="F62" s="1625">
        <v>12</v>
      </c>
      <c r="G62" s="1625">
        <v>42</v>
      </c>
      <c r="H62" s="1625">
        <v>54</v>
      </c>
      <c r="I62" s="1626">
        <v>3</v>
      </c>
      <c r="J62" s="1626">
        <v>7</v>
      </c>
      <c r="K62" s="1626">
        <v>10</v>
      </c>
      <c r="L62" s="1613"/>
      <c r="M62" s="1613"/>
      <c r="N62" s="1614"/>
      <c r="O62" s="1615"/>
      <c r="P62" s="1615"/>
      <c r="Q62" s="1615"/>
      <c r="R62" s="1615"/>
      <c r="S62" s="1615"/>
      <c r="T62" s="1615"/>
      <c r="U62" s="1615"/>
    </row>
    <row r="63" spans="1:21" s="742" customFormat="1" ht="13.2">
      <c r="A63" s="1628" t="s">
        <v>433</v>
      </c>
      <c r="B63" s="1502"/>
      <c r="C63" s="1501"/>
      <c r="D63" s="1502"/>
      <c r="E63" s="1509"/>
      <c r="F63" s="1602"/>
      <c r="G63" s="1602"/>
      <c r="H63" s="1603"/>
      <c r="I63" s="1507"/>
      <c r="J63" s="1507"/>
      <c r="K63" s="1508"/>
      <c r="L63" s="1502"/>
      <c r="M63" s="1502"/>
      <c r="N63" s="1604"/>
      <c r="O63" s="1615"/>
      <c r="P63" s="1615"/>
      <c r="Q63" s="1615"/>
      <c r="R63" s="1615"/>
      <c r="S63" s="1615"/>
      <c r="T63" s="1615"/>
      <c r="U63" s="1615"/>
    </row>
    <row r="64" spans="1:21" s="742" customFormat="1" ht="13.2">
      <c r="A64" s="1601" t="s">
        <v>434</v>
      </c>
      <c r="B64" s="1502">
        <v>8</v>
      </c>
      <c r="C64" s="1501">
        <v>25</v>
      </c>
      <c r="D64" s="1502">
        <v>32</v>
      </c>
      <c r="E64" s="1509">
        <f t="shared" si="0"/>
        <v>57</v>
      </c>
      <c r="F64" s="1602">
        <v>25</v>
      </c>
      <c r="G64" s="1602">
        <v>32</v>
      </c>
      <c r="H64" s="1603">
        <v>57</v>
      </c>
      <c r="I64" s="1507">
        <v>4</v>
      </c>
      <c r="J64" s="1507">
        <v>4</v>
      </c>
      <c r="K64" s="1508">
        <v>8</v>
      </c>
      <c r="L64" s="1502"/>
      <c r="M64" s="1502"/>
      <c r="N64" s="1604"/>
      <c r="O64" s="1615"/>
      <c r="P64" s="1615"/>
      <c r="Q64" s="1615"/>
      <c r="R64" s="1615"/>
      <c r="S64" s="1615"/>
      <c r="T64" s="1615"/>
      <c r="U64" s="1615"/>
    </row>
    <row r="65" spans="1:171" s="742" customFormat="1" ht="13.2">
      <c r="A65" s="1601" t="s">
        <v>435</v>
      </c>
      <c r="B65" s="1502">
        <v>10</v>
      </c>
      <c r="C65" s="1501">
        <v>19</v>
      </c>
      <c r="D65" s="1502">
        <v>21</v>
      </c>
      <c r="E65" s="1509">
        <f t="shared" si="0"/>
        <v>40</v>
      </c>
      <c r="F65" s="1602">
        <v>17</v>
      </c>
      <c r="G65" s="1602">
        <v>21</v>
      </c>
      <c r="H65" s="1603">
        <v>38</v>
      </c>
      <c r="I65" s="1507">
        <v>4</v>
      </c>
      <c r="J65" s="1507">
        <v>2</v>
      </c>
      <c r="K65" s="1508">
        <v>6</v>
      </c>
      <c r="L65" s="1502"/>
      <c r="M65" s="1502">
        <v>1</v>
      </c>
      <c r="N65" s="1604">
        <v>1</v>
      </c>
      <c r="O65" s="1615"/>
      <c r="P65" s="1615"/>
      <c r="Q65" s="1615"/>
      <c r="R65" s="1615"/>
      <c r="S65" s="1615"/>
      <c r="T65" s="1615"/>
      <c r="U65" s="1615"/>
    </row>
    <row r="66" spans="1:171" s="742" customFormat="1" ht="13.2">
      <c r="A66" s="1601" t="s">
        <v>436</v>
      </c>
      <c r="B66" s="1502">
        <v>2</v>
      </c>
      <c r="C66" s="1501">
        <v>2</v>
      </c>
      <c r="D66" s="1502">
        <v>5</v>
      </c>
      <c r="E66" s="1509">
        <f t="shared" si="0"/>
        <v>7</v>
      </c>
      <c r="F66" s="1602">
        <v>1</v>
      </c>
      <c r="G66" s="1602">
        <v>5</v>
      </c>
      <c r="H66" s="1603">
        <v>6</v>
      </c>
      <c r="I66" s="1507">
        <v>1</v>
      </c>
      <c r="J66" s="1507">
        <v>1</v>
      </c>
      <c r="K66" s="1508">
        <v>2</v>
      </c>
      <c r="L66" s="1502"/>
      <c r="M66" s="1502"/>
      <c r="N66" s="1604"/>
      <c r="O66" s="1615"/>
      <c r="P66" s="1615"/>
      <c r="Q66" s="1615"/>
      <c r="R66" s="1615"/>
      <c r="S66" s="1615"/>
      <c r="T66" s="1615"/>
      <c r="U66" s="1615"/>
    </row>
    <row r="67" spans="1:171" s="742" customFormat="1" ht="13.2">
      <c r="A67" s="1601" t="s">
        <v>437</v>
      </c>
      <c r="B67" s="1502">
        <v>2</v>
      </c>
      <c r="C67" s="1501"/>
      <c r="D67" s="1502">
        <v>4</v>
      </c>
      <c r="E67" s="1509">
        <f t="shared" si="0"/>
        <v>4</v>
      </c>
      <c r="F67" s="1602">
        <v>0</v>
      </c>
      <c r="G67" s="1602">
        <v>3</v>
      </c>
      <c r="H67" s="1603">
        <v>3</v>
      </c>
      <c r="I67" s="1507"/>
      <c r="J67" s="1507"/>
      <c r="K67" s="1508"/>
      <c r="L67" s="1502"/>
      <c r="M67" s="1502">
        <v>1</v>
      </c>
      <c r="N67" s="1604">
        <v>1</v>
      </c>
      <c r="O67" s="1615"/>
      <c r="P67" s="1615"/>
      <c r="Q67" s="1615"/>
      <c r="R67" s="1615"/>
      <c r="S67" s="1615"/>
      <c r="T67" s="1615"/>
      <c r="U67" s="1615"/>
    </row>
    <row r="68" spans="1:171" s="742" customFormat="1" ht="13.2">
      <c r="A68" s="1601" t="s">
        <v>438</v>
      </c>
      <c r="B68" s="1502">
        <v>5</v>
      </c>
      <c r="C68" s="1501">
        <v>9</v>
      </c>
      <c r="D68" s="1502">
        <v>30</v>
      </c>
      <c r="E68" s="1509">
        <f t="shared" si="0"/>
        <v>39</v>
      </c>
      <c r="F68" s="1602">
        <v>9</v>
      </c>
      <c r="G68" s="1602">
        <v>30</v>
      </c>
      <c r="H68" s="1603">
        <v>39</v>
      </c>
      <c r="I68" s="1507">
        <v>1</v>
      </c>
      <c r="J68" s="1507">
        <v>2</v>
      </c>
      <c r="K68" s="1508">
        <v>3</v>
      </c>
      <c r="L68" s="1502"/>
      <c r="M68" s="1502">
        <v>1</v>
      </c>
      <c r="N68" s="1604">
        <v>1</v>
      </c>
      <c r="O68" s="1615"/>
      <c r="P68" s="1615"/>
      <c r="Q68" s="1615"/>
      <c r="R68" s="1615"/>
      <c r="S68" s="1615"/>
      <c r="T68" s="1615"/>
      <c r="U68" s="1615"/>
    </row>
    <row r="69" spans="1:171" s="607" customFormat="1" ht="13.2">
      <c r="A69" s="1601" t="s">
        <v>775</v>
      </c>
      <c r="B69" s="1502">
        <v>3</v>
      </c>
      <c r="C69" s="1501">
        <v>4</v>
      </c>
      <c r="D69" s="1502">
        <v>16</v>
      </c>
      <c r="E69" s="1509">
        <f t="shared" si="0"/>
        <v>20</v>
      </c>
      <c r="F69" s="1602">
        <v>4</v>
      </c>
      <c r="G69" s="1602">
        <v>16</v>
      </c>
      <c r="H69" s="1603">
        <v>20</v>
      </c>
      <c r="I69" s="1507"/>
      <c r="J69" s="1507">
        <v>2</v>
      </c>
      <c r="K69" s="1508">
        <v>2</v>
      </c>
      <c r="L69" s="1502"/>
      <c r="M69" s="1502">
        <v>1</v>
      </c>
      <c r="N69" s="1604">
        <v>1</v>
      </c>
      <c r="O69" s="1615"/>
      <c r="P69" s="1615"/>
      <c r="Q69" s="1615"/>
      <c r="R69" s="1615"/>
      <c r="S69" s="1615"/>
      <c r="T69" s="1615"/>
      <c r="U69" s="1615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42"/>
      <c r="AH69" s="742"/>
      <c r="AI69" s="742"/>
      <c r="AJ69" s="742"/>
      <c r="AK69" s="742"/>
      <c r="AL69" s="742"/>
      <c r="AM69" s="742"/>
      <c r="AN69" s="742"/>
      <c r="AO69" s="742"/>
      <c r="AP69" s="742"/>
      <c r="AQ69" s="742"/>
      <c r="AR69" s="742"/>
      <c r="AS69" s="742"/>
      <c r="AT69" s="742"/>
      <c r="AU69" s="742"/>
      <c r="AV69" s="742"/>
      <c r="AW69" s="742"/>
      <c r="AX69" s="742"/>
      <c r="AY69" s="742"/>
      <c r="AZ69" s="742"/>
      <c r="BA69" s="742"/>
      <c r="BB69" s="742"/>
      <c r="BC69" s="742"/>
      <c r="BD69" s="742"/>
      <c r="BE69" s="742"/>
      <c r="BF69" s="742"/>
      <c r="BG69" s="742"/>
      <c r="BH69" s="742"/>
      <c r="BI69" s="742"/>
      <c r="BJ69" s="742"/>
      <c r="BK69" s="742"/>
      <c r="BL69" s="742"/>
      <c r="BM69" s="742"/>
      <c r="BN69" s="742"/>
      <c r="BO69" s="742"/>
      <c r="BP69" s="742"/>
      <c r="BQ69" s="742"/>
      <c r="BR69" s="742"/>
      <c r="BS69" s="742"/>
      <c r="BT69" s="742"/>
      <c r="BU69" s="742"/>
      <c r="BV69" s="742"/>
      <c r="BW69" s="742"/>
      <c r="BX69" s="742"/>
      <c r="BY69" s="742"/>
      <c r="BZ69" s="742"/>
      <c r="CA69" s="742"/>
      <c r="CB69" s="742"/>
      <c r="CC69" s="742"/>
      <c r="CD69" s="742"/>
      <c r="CE69" s="742"/>
      <c r="CF69" s="742"/>
      <c r="CG69" s="742"/>
      <c r="CH69" s="742"/>
      <c r="CI69" s="742"/>
      <c r="CJ69" s="742"/>
      <c r="CK69" s="742"/>
      <c r="CL69" s="742"/>
      <c r="CM69" s="742"/>
      <c r="CN69" s="742"/>
      <c r="CO69" s="742"/>
      <c r="CP69" s="742"/>
      <c r="CQ69" s="742"/>
      <c r="CR69" s="742"/>
      <c r="CS69" s="742"/>
      <c r="CT69" s="742"/>
      <c r="CU69" s="742"/>
      <c r="CV69" s="742"/>
      <c r="CW69" s="742"/>
      <c r="CX69" s="742"/>
      <c r="CY69" s="742"/>
      <c r="CZ69" s="742"/>
      <c r="DA69" s="742"/>
      <c r="DB69" s="742"/>
      <c r="DC69" s="742"/>
      <c r="DD69" s="742"/>
      <c r="DE69" s="742"/>
      <c r="DF69" s="742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742"/>
      <c r="FI69" s="742"/>
      <c r="FJ69" s="742"/>
      <c r="FK69" s="742"/>
      <c r="FL69" s="742"/>
      <c r="FM69" s="742"/>
      <c r="FN69" s="742"/>
      <c r="FO69" s="742"/>
    </row>
    <row r="70" spans="1:171" s="607" customFormat="1" ht="13.2">
      <c r="A70" s="1601" t="s">
        <v>440</v>
      </c>
      <c r="B70" s="1502">
        <v>11</v>
      </c>
      <c r="C70" s="1501">
        <v>13</v>
      </c>
      <c r="D70" s="1502">
        <v>69</v>
      </c>
      <c r="E70" s="1509">
        <f t="shared" si="0"/>
        <v>82</v>
      </c>
      <c r="F70" s="1602">
        <v>11</v>
      </c>
      <c r="G70" s="1602">
        <v>54</v>
      </c>
      <c r="H70" s="1603">
        <v>65</v>
      </c>
      <c r="I70" s="1507">
        <v>4</v>
      </c>
      <c r="J70" s="1507">
        <v>5</v>
      </c>
      <c r="K70" s="1508">
        <v>9</v>
      </c>
      <c r="L70" s="1502"/>
      <c r="M70" s="1502"/>
      <c r="N70" s="1604"/>
      <c r="O70" s="1615"/>
      <c r="P70" s="1615"/>
      <c r="Q70" s="1615"/>
      <c r="R70" s="1615"/>
      <c r="S70" s="1615"/>
      <c r="T70" s="1615"/>
      <c r="U70" s="1615"/>
      <c r="V70" s="742"/>
      <c r="W70" s="742"/>
      <c r="X70" s="742"/>
      <c r="Y70" s="742"/>
      <c r="Z70" s="742"/>
      <c r="AA70" s="742"/>
      <c r="AB70" s="742"/>
      <c r="AC70" s="742"/>
      <c r="AD70" s="742"/>
      <c r="AE70" s="742"/>
      <c r="AF70" s="742"/>
      <c r="AG70" s="742"/>
      <c r="AH70" s="742"/>
      <c r="AI70" s="742"/>
      <c r="AJ70" s="742"/>
      <c r="AK70" s="742"/>
      <c r="AL70" s="742"/>
      <c r="AM70" s="742"/>
      <c r="AN70" s="742"/>
      <c r="AO70" s="742"/>
      <c r="AP70" s="742"/>
      <c r="AQ70" s="742"/>
      <c r="AR70" s="742"/>
      <c r="AS70" s="742"/>
      <c r="AT70" s="742"/>
      <c r="AU70" s="742"/>
      <c r="AV70" s="742"/>
      <c r="AW70" s="742"/>
      <c r="AX70" s="742"/>
      <c r="AY70" s="742"/>
      <c r="AZ70" s="742"/>
      <c r="BA70" s="742"/>
      <c r="BB70" s="742"/>
      <c r="BC70" s="742"/>
      <c r="BD70" s="742"/>
      <c r="BE70" s="742"/>
      <c r="BF70" s="742"/>
      <c r="BG70" s="742"/>
      <c r="BH70" s="742"/>
      <c r="BI70" s="742"/>
      <c r="BJ70" s="742"/>
      <c r="BK70" s="742"/>
      <c r="BL70" s="742"/>
      <c r="BM70" s="742"/>
      <c r="BN70" s="742"/>
      <c r="BO70" s="742"/>
      <c r="BP70" s="742"/>
      <c r="BQ70" s="742"/>
      <c r="BR70" s="742"/>
      <c r="BS70" s="742"/>
      <c r="BT70" s="742"/>
      <c r="BU70" s="742"/>
      <c r="BV70" s="742"/>
      <c r="BW70" s="742"/>
      <c r="BX70" s="742"/>
      <c r="BY70" s="742"/>
      <c r="BZ70" s="742"/>
      <c r="CA70" s="742"/>
      <c r="CB70" s="742"/>
      <c r="CC70" s="742"/>
      <c r="CD70" s="742"/>
      <c r="CE70" s="742"/>
      <c r="CF70" s="742"/>
      <c r="CG70" s="742"/>
      <c r="CH70" s="742"/>
      <c r="CI70" s="742"/>
      <c r="CJ70" s="742"/>
      <c r="CK70" s="742"/>
      <c r="CL70" s="742"/>
      <c r="CM70" s="742"/>
      <c r="CN70" s="742"/>
      <c r="CO70" s="742"/>
      <c r="CP70" s="742"/>
      <c r="CQ70" s="742"/>
      <c r="CR70" s="742"/>
      <c r="CS70" s="742"/>
      <c r="CT70" s="742"/>
      <c r="CU70" s="742"/>
      <c r="CV70" s="742"/>
      <c r="CW70" s="742"/>
      <c r="CX70" s="742"/>
      <c r="CY70" s="742"/>
      <c r="CZ70" s="742"/>
      <c r="DA70" s="742"/>
      <c r="DB70" s="742"/>
      <c r="DC70" s="742"/>
      <c r="DD70" s="742"/>
      <c r="DE70" s="742"/>
      <c r="DF70" s="742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742"/>
      <c r="FA70" s="742"/>
      <c r="FB70" s="742"/>
      <c r="FC70" s="742"/>
      <c r="FD70" s="742"/>
      <c r="FE70" s="742"/>
      <c r="FF70" s="742"/>
      <c r="FG70" s="742"/>
      <c r="FH70" s="742"/>
      <c r="FI70" s="742"/>
      <c r="FJ70" s="742"/>
      <c r="FK70" s="742"/>
      <c r="FL70" s="742"/>
      <c r="FM70" s="742"/>
      <c r="FN70" s="742"/>
      <c r="FO70" s="742"/>
    </row>
    <row r="71" spans="1:171" s="607" customFormat="1" ht="13.2">
      <c r="A71" s="1601" t="s">
        <v>441</v>
      </c>
      <c r="B71" s="1502">
        <v>1</v>
      </c>
      <c r="C71" s="1501">
        <v>1</v>
      </c>
      <c r="D71" s="1502">
        <v>5</v>
      </c>
      <c r="E71" s="1509">
        <f t="shared" si="0"/>
        <v>6</v>
      </c>
      <c r="F71" s="1602">
        <v>1</v>
      </c>
      <c r="G71" s="1602">
        <v>5</v>
      </c>
      <c r="H71" s="1603">
        <v>6</v>
      </c>
      <c r="I71" s="1507"/>
      <c r="J71" s="1507">
        <v>1</v>
      </c>
      <c r="K71" s="1508">
        <v>1</v>
      </c>
      <c r="L71" s="1502"/>
      <c r="M71" s="1502"/>
      <c r="N71" s="1604"/>
      <c r="O71" s="1615"/>
      <c r="P71" s="1615"/>
      <c r="Q71" s="1615"/>
      <c r="R71" s="1615"/>
      <c r="S71" s="1615"/>
      <c r="T71" s="1615"/>
      <c r="U71" s="1615"/>
      <c r="V71" s="742"/>
      <c r="W71" s="742"/>
      <c r="X71" s="742"/>
      <c r="Y71" s="742"/>
      <c r="Z71" s="742"/>
      <c r="AA71" s="742"/>
      <c r="AB71" s="742"/>
      <c r="AC71" s="742"/>
      <c r="AD71" s="742"/>
      <c r="AE71" s="742"/>
      <c r="AF71" s="742"/>
      <c r="AG71" s="742"/>
      <c r="AH71" s="742"/>
      <c r="AI71" s="742"/>
      <c r="AJ71" s="742"/>
      <c r="AK71" s="742"/>
      <c r="AL71" s="742"/>
      <c r="AM71" s="742"/>
      <c r="AN71" s="742"/>
      <c r="AO71" s="742"/>
      <c r="AP71" s="742"/>
      <c r="AQ71" s="742"/>
      <c r="AR71" s="742"/>
      <c r="AS71" s="742"/>
      <c r="AT71" s="742"/>
      <c r="AU71" s="742"/>
      <c r="AV71" s="742"/>
      <c r="AW71" s="742"/>
      <c r="AX71" s="742"/>
      <c r="AY71" s="742"/>
      <c r="AZ71" s="742"/>
      <c r="BA71" s="742"/>
      <c r="BB71" s="742"/>
      <c r="BC71" s="742"/>
      <c r="BD71" s="742"/>
      <c r="BE71" s="742"/>
      <c r="BF71" s="742"/>
      <c r="BG71" s="742"/>
      <c r="BH71" s="742"/>
      <c r="BI71" s="742"/>
      <c r="BJ71" s="742"/>
      <c r="BK71" s="742"/>
      <c r="BL71" s="742"/>
      <c r="BM71" s="742"/>
      <c r="BN71" s="742"/>
      <c r="BO71" s="742"/>
      <c r="BP71" s="742"/>
      <c r="BQ71" s="742"/>
      <c r="BR71" s="742"/>
      <c r="BS71" s="742"/>
      <c r="BT71" s="742"/>
      <c r="BU71" s="742"/>
      <c r="BV71" s="742"/>
      <c r="BW71" s="742"/>
      <c r="BX71" s="742"/>
      <c r="BY71" s="742"/>
      <c r="BZ71" s="742"/>
      <c r="CA71" s="742"/>
      <c r="CB71" s="742"/>
      <c r="CC71" s="742"/>
      <c r="CD71" s="742"/>
      <c r="CE71" s="742"/>
      <c r="CF71" s="742"/>
      <c r="CG71" s="742"/>
      <c r="CH71" s="742"/>
      <c r="CI71" s="742"/>
      <c r="CJ71" s="742"/>
      <c r="CK71" s="742"/>
      <c r="CL71" s="742"/>
      <c r="CM71" s="742"/>
      <c r="CN71" s="742"/>
      <c r="CO71" s="742"/>
      <c r="CP71" s="742"/>
      <c r="CQ71" s="742"/>
      <c r="CR71" s="742"/>
      <c r="CS71" s="742"/>
      <c r="CT71" s="742"/>
      <c r="CU71" s="742"/>
      <c r="CV71" s="742"/>
      <c r="CW71" s="742"/>
      <c r="CX71" s="742"/>
      <c r="CY71" s="742"/>
      <c r="CZ71" s="742"/>
      <c r="DA71" s="742"/>
      <c r="DB71" s="742"/>
      <c r="DC71" s="742"/>
      <c r="DD71" s="742"/>
      <c r="DE71" s="742"/>
      <c r="DF71" s="742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742"/>
      <c r="FA71" s="742"/>
      <c r="FB71" s="742"/>
      <c r="FC71" s="742"/>
      <c r="FD71" s="742"/>
      <c r="FE71" s="742"/>
      <c r="FF71" s="742"/>
      <c r="FG71" s="742"/>
      <c r="FH71" s="742"/>
      <c r="FI71" s="742"/>
      <c r="FJ71" s="742"/>
      <c r="FK71" s="742"/>
      <c r="FL71" s="742"/>
      <c r="FM71" s="742"/>
      <c r="FN71" s="742"/>
      <c r="FO71" s="742"/>
    </row>
    <row r="72" spans="1:171" s="607" customFormat="1" ht="13.8" thickBot="1">
      <c r="A72" s="1633" t="s">
        <v>776</v>
      </c>
      <c r="B72" s="1634">
        <v>42</v>
      </c>
      <c r="C72" s="1635">
        <v>73</v>
      </c>
      <c r="D72" s="1634">
        <v>182</v>
      </c>
      <c r="E72" s="1635">
        <f t="shared" si="0"/>
        <v>255</v>
      </c>
      <c r="F72" s="1636">
        <v>65</v>
      </c>
      <c r="G72" s="1636">
        <v>148</v>
      </c>
      <c r="H72" s="1636">
        <v>213</v>
      </c>
      <c r="I72" s="1637">
        <v>14</v>
      </c>
      <c r="J72" s="1637">
        <v>17</v>
      </c>
      <c r="K72" s="1637">
        <v>31</v>
      </c>
      <c r="L72" s="1634"/>
      <c r="M72" s="1634">
        <v>4</v>
      </c>
      <c r="N72" s="1638">
        <v>4</v>
      </c>
      <c r="O72" s="1615"/>
      <c r="P72" s="1615"/>
      <c r="Q72" s="1615"/>
      <c r="R72" s="1615"/>
      <c r="S72" s="1615"/>
      <c r="T72" s="1615"/>
      <c r="U72" s="1615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42"/>
      <c r="AH72" s="742"/>
      <c r="AI72" s="742"/>
      <c r="AJ72" s="742"/>
      <c r="AK72" s="742"/>
      <c r="AL72" s="742"/>
      <c r="AM72" s="742"/>
      <c r="AN72" s="742"/>
      <c r="AO72" s="742"/>
      <c r="AP72" s="742"/>
      <c r="AQ72" s="742"/>
      <c r="AR72" s="742"/>
      <c r="AS72" s="742"/>
      <c r="AT72" s="742"/>
      <c r="AU72" s="742"/>
      <c r="AV72" s="742"/>
      <c r="AW72" s="742"/>
      <c r="AX72" s="742"/>
      <c r="AY72" s="742"/>
      <c r="AZ72" s="742"/>
      <c r="BA72" s="742"/>
      <c r="BB72" s="742"/>
      <c r="BC72" s="742"/>
      <c r="BD72" s="742"/>
      <c r="BE72" s="742"/>
      <c r="BF72" s="742"/>
      <c r="BG72" s="742"/>
      <c r="BH72" s="742"/>
      <c r="BI72" s="742"/>
      <c r="BJ72" s="742"/>
      <c r="BK72" s="742"/>
      <c r="BL72" s="742"/>
      <c r="BM72" s="742"/>
      <c r="BN72" s="742"/>
      <c r="BO72" s="742"/>
      <c r="BP72" s="742"/>
      <c r="BQ72" s="742"/>
      <c r="BR72" s="742"/>
      <c r="BS72" s="742"/>
      <c r="BT72" s="742"/>
      <c r="BU72" s="742"/>
      <c r="BV72" s="742"/>
      <c r="BW72" s="742"/>
      <c r="BX72" s="742"/>
      <c r="BY72" s="742"/>
      <c r="BZ72" s="742"/>
      <c r="CA72" s="742"/>
      <c r="CB72" s="742"/>
      <c r="CC72" s="742"/>
      <c r="CD72" s="742"/>
      <c r="CE72" s="742"/>
      <c r="CF72" s="742"/>
      <c r="CG72" s="742"/>
      <c r="CH72" s="742"/>
      <c r="CI72" s="742"/>
      <c r="CJ72" s="742"/>
      <c r="CK72" s="742"/>
      <c r="CL72" s="742"/>
      <c r="CM72" s="742"/>
      <c r="CN72" s="742"/>
      <c r="CO72" s="742"/>
      <c r="CP72" s="742"/>
      <c r="CQ72" s="742"/>
      <c r="CR72" s="742"/>
      <c r="CS72" s="742"/>
      <c r="CT72" s="742"/>
      <c r="CU72" s="742"/>
      <c r="CV72" s="742"/>
      <c r="CW72" s="742"/>
      <c r="CX72" s="742"/>
      <c r="CY72" s="742"/>
      <c r="CZ72" s="742"/>
      <c r="DA72" s="742"/>
      <c r="DB72" s="742"/>
      <c r="DC72" s="742"/>
      <c r="DD72" s="742"/>
      <c r="DE72" s="742"/>
      <c r="DF72" s="742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</row>
    <row r="73" spans="1:171" s="607" customFormat="1" ht="13.2">
      <c r="A73" s="1639" t="s">
        <v>443</v>
      </c>
      <c r="B73" s="1640">
        <v>9</v>
      </c>
      <c r="C73" s="1641">
        <v>5</v>
      </c>
      <c r="D73" s="1640">
        <v>12</v>
      </c>
      <c r="E73" s="1642">
        <f t="shared" si="0"/>
        <v>17</v>
      </c>
      <c r="F73" s="1643">
        <v>5</v>
      </c>
      <c r="G73" s="1643">
        <v>12</v>
      </c>
      <c r="H73" s="1644">
        <v>17</v>
      </c>
      <c r="I73" s="1645">
        <v>3</v>
      </c>
      <c r="J73" s="1645">
        <v>2</v>
      </c>
      <c r="K73" s="1646">
        <v>5</v>
      </c>
      <c r="L73" s="1640">
        <v>1</v>
      </c>
      <c r="M73" s="1640">
        <v>3</v>
      </c>
      <c r="N73" s="1647">
        <v>4</v>
      </c>
      <c r="O73" s="1615"/>
      <c r="P73" s="1615" t="s">
        <v>913</v>
      </c>
      <c r="Q73" s="1615">
        <v>42</v>
      </c>
      <c r="R73" s="1615">
        <v>118</v>
      </c>
      <c r="S73" s="1615">
        <v>160</v>
      </c>
      <c r="T73" s="1615"/>
      <c r="U73" s="1615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  <c r="AH73" s="742"/>
      <c r="AI73" s="742"/>
      <c r="AJ73" s="742"/>
      <c r="AK73" s="742"/>
      <c r="AL73" s="742"/>
      <c r="AM73" s="742"/>
      <c r="AN73" s="742"/>
      <c r="AO73" s="742"/>
      <c r="AP73" s="742"/>
      <c r="AQ73" s="742"/>
      <c r="AR73" s="742"/>
      <c r="AS73" s="742"/>
      <c r="AT73" s="742"/>
      <c r="AU73" s="742"/>
      <c r="AV73" s="742"/>
      <c r="AW73" s="742"/>
      <c r="AX73" s="742"/>
      <c r="AY73" s="742"/>
      <c r="AZ73" s="742"/>
      <c r="BA73" s="742"/>
      <c r="BB73" s="742"/>
      <c r="BC73" s="742"/>
      <c r="BD73" s="742"/>
      <c r="BE73" s="742"/>
      <c r="BF73" s="742"/>
      <c r="BG73" s="742"/>
      <c r="BH73" s="742"/>
      <c r="BI73" s="742"/>
      <c r="BJ73" s="742"/>
      <c r="BK73" s="742"/>
      <c r="BL73" s="742"/>
      <c r="BM73" s="742"/>
      <c r="BN73" s="742"/>
      <c r="BO73" s="742"/>
      <c r="BP73" s="742"/>
      <c r="BQ73" s="742"/>
      <c r="BR73" s="742"/>
      <c r="BS73" s="742"/>
      <c r="BT73" s="742"/>
      <c r="BU73" s="742"/>
      <c r="BV73" s="742"/>
      <c r="BW73" s="742"/>
      <c r="BX73" s="742"/>
      <c r="BY73" s="742"/>
      <c r="BZ73" s="742"/>
      <c r="CA73" s="742"/>
      <c r="CB73" s="742"/>
      <c r="CC73" s="742"/>
      <c r="CD73" s="742"/>
      <c r="CE73" s="742"/>
      <c r="CF73" s="742"/>
      <c r="CG73" s="742"/>
      <c r="CH73" s="742"/>
      <c r="CI73" s="742"/>
      <c r="CJ73" s="742"/>
      <c r="CK73" s="742"/>
      <c r="CL73" s="742"/>
      <c r="CM73" s="742"/>
      <c r="CN73" s="742"/>
      <c r="CO73" s="742"/>
      <c r="CP73" s="742"/>
      <c r="CQ73" s="742"/>
      <c r="CR73" s="742"/>
      <c r="CS73" s="742"/>
      <c r="CT73" s="742"/>
      <c r="CU73" s="742"/>
      <c r="CV73" s="742"/>
      <c r="CW73" s="742"/>
      <c r="CX73" s="742"/>
      <c r="CY73" s="742"/>
      <c r="CZ73" s="742"/>
      <c r="DA73" s="742"/>
      <c r="DB73" s="742"/>
      <c r="DC73" s="742"/>
      <c r="DD73" s="742"/>
      <c r="DE73" s="742"/>
      <c r="DF73" s="742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</row>
    <row r="74" spans="1:171" s="607" customFormat="1" ht="13.2">
      <c r="A74" s="1601" t="s">
        <v>444</v>
      </c>
      <c r="B74" s="1502">
        <v>10</v>
      </c>
      <c r="C74" s="1501">
        <v>19</v>
      </c>
      <c r="D74" s="1502">
        <v>86</v>
      </c>
      <c r="E74" s="1509">
        <f t="shared" si="0"/>
        <v>105</v>
      </c>
      <c r="F74" s="1602">
        <v>19</v>
      </c>
      <c r="G74" s="1602">
        <v>82</v>
      </c>
      <c r="H74" s="1603">
        <v>101</v>
      </c>
      <c r="I74" s="1507">
        <v>2</v>
      </c>
      <c r="J74" s="1507">
        <v>4</v>
      </c>
      <c r="K74" s="1508">
        <v>6</v>
      </c>
      <c r="L74" s="1502">
        <v>1</v>
      </c>
      <c r="M74" s="1502">
        <v>3</v>
      </c>
      <c r="N74" s="1604">
        <v>4</v>
      </c>
      <c r="O74" s="1615"/>
      <c r="P74" s="1615" t="s">
        <v>914</v>
      </c>
      <c r="Q74" s="1615">
        <v>34</v>
      </c>
      <c r="R74" s="1615">
        <v>85</v>
      </c>
      <c r="S74" s="1615">
        <v>119</v>
      </c>
      <c r="T74" s="1615"/>
      <c r="U74" s="1615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  <c r="AU74" s="742"/>
      <c r="AV74" s="742"/>
      <c r="AW74" s="742"/>
      <c r="AX74" s="742"/>
      <c r="AY74" s="742"/>
      <c r="AZ74" s="742"/>
      <c r="BA74" s="742"/>
      <c r="BB74" s="742"/>
      <c r="BC74" s="742"/>
      <c r="BD74" s="742"/>
      <c r="BE74" s="742"/>
      <c r="BF74" s="742"/>
      <c r="BG74" s="742"/>
      <c r="BH74" s="742"/>
      <c r="BI74" s="742"/>
      <c r="BJ74" s="742"/>
      <c r="BK74" s="742"/>
      <c r="BL74" s="742"/>
      <c r="BM74" s="742"/>
      <c r="BN74" s="742"/>
      <c r="BO74" s="742"/>
      <c r="BP74" s="742"/>
      <c r="BQ74" s="742"/>
      <c r="BR74" s="742"/>
      <c r="BS74" s="742"/>
      <c r="BT74" s="742"/>
      <c r="BU74" s="742"/>
      <c r="BV74" s="742"/>
      <c r="BW74" s="742"/>
      <c r="BX74" s="742"/>
      <c r="BY74" s="742"/>
      <c r="BZ74" s="742"/>
      <c r="CA74" s="742"/>
      <c r="CB74" s="742"/>
      <c r="CC74" s="742"/>
      <c r="CD74" s="742"/>
      <c r="CE74" s="742"/>
      <c r="CF74" s="742"/>
      <c r="CG74" s="742"/>
      <c r="CH74" s="742"/>
      <c r="CI74" s="742"/>
      <c r="CJ74" s="742"/>
      <c r="CK74" s="742"/>
      <c r="CL74" s="742"/>
      <c r="CM74" s="742"/>
      <c r="CN74" s="742"/>
      <c r="CO74" s="742"/>
      <c r="CP74" s="742"/>
      <c r="CQ74" s="742"/>
      <c r="CR74" s="742"/>
      <c r="CS74" s="742"/>
      <c r="CT74" s="742"/>
      <c r="CU74" s="742"/>
      <c r="CV74" s="742"/>
      <c r="CW74" s="742"/>
      <c r="CX74" s="742"/>
      <c r="CY74" s="742"/>
      <c r="CZ74" s="742"/>
      <c r="DA74" s="742"/>
      <c r="DB74" s="742"/>
      <c r="DC74" s="742"/>
      <c r="DD74" s="742"/>
      <c r="DE74" s="742"/>
      <c r="DF74" s="742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</row>
    <row r="75" spans="1:171" s="607" customFormat="1" ht="13.2">
      <c r="A75" s="1601" t="s">
        <v>445</v>
      </c>
      <c r="B75" s="1502">
        <v>7</v>
      </c>
      <c r="C75" s="1501">
        <v>13</v>
      </c>
      <c r="D75" s="1502">
        <v>20</v>
      </c>
      <c r="E75" s="1509">
        <f t="shared" si="0"/>
        <v>33</v>
      </c>
      <c r="F75" s="1602">
        <v>13</v>
      </c>
      <c r="G75" s="1602">
        <v>19</v>
      </c>
      <c r="H75" s="1603">
        <v>32</v>
      </c>
      <c r="I75" s="1507">
        <v>2</v>
      </c>
      <c r="J75" s="1507">
        <v>4</v>
      </c>
      <c r="K75" s="1508">
        <v>6</v>
      </c>
      <c r="L75" s="1502"/>
      <c r="M75" s="1502"/>
      <c r="N75" s="1604"/>
      <c r="O75" s="1615"/>
      <c r="P75" s="1615" t="s">
        <v>915</v>
      </c>
      <c r="Q75" s="1615">
        <v>23</v>
      </c>
      <c r="R75" s="1615">
        <v>33</v>
      </c>
      <c r="S75" s="1615">
        <v>56</v>
      </c>
      <c r="T75" s="1615"/>
      <c r="U75" s="1615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42"/>
      <c r="AH75" s="742"/>
      <c r="AI75" s="742"/>
      <c r="AJ75" s="742"/>
      <c r="AK75" s="742"/>
      <c r="AL75" s="742"/>
      <c r="AM75" s="742"/>
      <c r="AN75" s="742"/>
      <c r="AO75" s="742"/>
      <c r="AP75" s="742"/>
      <c r="AQ75" s="742"/>
      <c r="AR75" s="742"/>
      <c r="AS75" s="742"/>
      <c r="AT75" s="742"/>
      <c r="AU75" s="742"/>
      <c r="AV75" s="742"/>
      <c r="AW75" s="742"/>
      <c r="AX75" s="742"/>
      <c r="AY75" s="742"/>
      <c r="AZ75" s="742"/>
      <c r="BA75" s="742"/>
      <c r="BB75" s="742"/>
      <c r="BC75" s="742"/>
      <c r="BD75" s="742"/>
      <c r="BE75" s="742"/>
      <c r="BF75" s="742"/>
      <c r="BG75" s="742"/>
      <c r="BH75" s="742"/>
      <c r="BI75" s="742"/>
      <c r="BJ75" s="742"/>
      <c r="BK75" s="742"/>
      <c r="BL75" s="742"/>
      <c r="BM75" s="742"/>
      <c r="BN75" s="742"/>
      <c r="BO75" s="742"/>
      <c r="BP75" s="742"/>
      <c r="BQ75" s="742"/>
      <c r="BR75" s="742"/>
      <c r="BS75" s="742"/>
      <c r="BT75" s="742"/>
      <c r="BU75" s="742"/>
      <c r="BV75" s="742"/>
      <c r="BW75" s="742"/>
      <c r="BX75" s="742"/>
      <c r="BY75" s="742"/>
      <c r="BZ75" s="742"/>
      <c r="CA75" s="742"/>
      <c r="CB75" s="742"/>
      <c r="CC75" s="742"/>
      <c r="CD75" s="742"/>
      <c r="CE75" s="742"/>
      <c r="CF75" s="742"/>
      <c r="CG75" s="742"/>
      <c r="CH75" s="742"/>
      <c r="CI75" s="742"/>
      <c r="CJ75" s="742"/>
      <c r="CK75" s="742"/>
      <c r="CL75" s="742"/>
      <c r="CM75" s="742"/>
      <c r="CN75" s="742"/>
      <c r="CO75" s="742"/>
      <c r="CP75" s="742"/>
      <c r="CQ75" s="742"/>
      <c r="CR75" s="742"/>
      <c r="CS75" s="742"/>
      <c r="CT75" s="742"/>
      <c r="CU75" s="742"/>
      <c r="CV75" s="742"/>
      <c r="CW75" s="742"/>
      <c r="CX75" s="742"/>
      <c r="CY75" s="742"/>
      <c r="CZ75" s="742"/>
      <c r="DA75" s="742"/>
      <c r="DB75" s="742"/>
      <c r="DC75" s="742"/>
      <c r="DD75" s="742"/>
      <c r="DE75" s="742"/>
      <c r="DF75" s="742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</row>
    <row r="76" spans="1:171" s="607" customFormat="1" ht="13.2">
      <c r="A76" s="1601" t="s">
        <v>504</v>
      </c>
      <c r="B76" s="1502">
        <v>1</v>
      </c>
      <c r="C76" s="1501"/>
      <c r="D76" s="1502"/>
      <c r="E76" s="1509"/>
      <c r="F76" s="1602"/>
      <c r="G76" s="1602"/>
      <c r="H76" s="1603"/>
      <c r="I76" s="1507"/>
      <c r="J76" s="1507"/>
      <c r="K76" s="1508"/>
      <c r="L76" s="1502"/>
      <c r="M76" s="1502"/>
      <c r="N76" s="1604"/>
      <c r="O76" s="1615"/>
      <c r="P76" s="1615" t="s">
        <v>916</v>
      </c>
      <c r="Q76" s="1615">
        <v>34</v>
      </c>
      <c r="R76" s="1615">
        <v>117</v>
      </c>
      <c r="S76" s="1615">
        <v>151</v>
      </c>
      <c r="T76" s="1615"/>
      <c r="U76" s="1615"/>
      <c r="V76" s="742"/>
      <c r="W76" s="742"/>
      <c r="X76" s="742"/>
      <c r="Y76" s="742"/>
      <c r="Z76" s="742"/>
      <c r="AA76" s="742"/>
      <c r="AB76" s="742"/>
      <c r="AC76" s="742"/>
      <c r="AD76" s="742"/>
      <c r="AE76" s="742"/>
      <c r="AF76" s="742"/>
      <c r="AG76" s="742"/>
      <c r="AH76" s="742"/>
      <c r="AI76" s="742"/>
      <c r="AJ76" s="742"/>
      <c r="AK76" s="742"/>
      <c r="AL76" s="742"/>
      <c r="AM76" s="742"/>
      <c r="AN76" s="742"/>
      <c r="AO76" s="742"/>
      <c r="AP76" s="742"/>
      <c r="AQ76" s="742"/>
      <c r="AR76" s="742"/>
      <c r="AS76" s="742"/>
      <c r="AT76" s="742"/>
      <c r="AU76" s="742"/>
      <c r="AV76" s="742"/>
      <c r="AW76" s="742"/>
      <c r="AX76" s="742"/>
      <c r="AY76" s="742"/>
      <c r="AZ76" s="742"/>
      <c r="BA76" s="742"/>
      <c r="BB76" s="742"/>
      <c r="BC76" s="742"/>
      <c r="BD76" s="742"/>
      <c r="BE76" s="742"/>
      <c r="BF76" s="742"/>
      <c r="BG76" s="742"/>
      <c r="BH76" s="742"/>
      <c r="BI76" s="742"/>
      <c r="BJ76" s="742"/>
      <c r="BK76" s="742"/>
      <c r="BL76" s="742"/>
      <c r="BM76" s="742"/>
      <c r="BN76" s="742"/>
      <c r="BO76" s="742"/>
      <c r="BP76" s="742"/>
      <c r="BQ76" s="742"/>
      <c r="BR76" s="742"/>
      <c r="BS76" s="742"/>
      <c r="BT76" s="742"/>
      <c r="BU76" s="742"/>
      <c r="BV76" s="742"/>
      <c r="BW76" s="742"/>
      <c r="BX76" s="742"/>
      <c r="BY76" s="742"/>
      <c r="BZ76" s="742"/>
      <c r="CA76" s="742"/>
      <c r="CB76" s="742"/>
      <c r="CC76" s="742"/>
      <c r="CD76" s="742"/>
      <c r="CE76" s="742"/>
      <c r="CF76" s="742"/>
      <c r="CG76" s="742"/>
      <c r="CH76" s="742"/>
      <c r="CI76" s="742"/>
      <c r="CJ76" s="742"/>
      <c r="CK76" s="742"/>
      <c r="CL76" s="742"/>
      <c r="CM76" s="742"/>
      <c r="CN76" s="742"/>
      <c r="CO76" s="742"/>
      <c r="CP76" s="742"/>
      <c r="CQ76" s="742"/>
      <c r="CR76" s="742"/>
      <c r="CS76" s="742"/>
      <c r="CT76" s="742"/>
      <c r="CU76" s="742"/>
      <c r="CV76" s="742"/>
      <c r="CW76" s="742"/>
      <c r="CX76" s="742"/>
      <c r="CY76" s="742"/>
      <c r="CZ76" s="742"/>
      <c r="DA76" s="742"/>
      <c r="DB76" s="742"/>
      <c r="DC76" s="742"/>
      <c r="DD76" s="742"/>
      <c r="DE76" s="742"/>
      <c r="DF76" s="742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</row>
    <row r="77" spans="1:171" s="607" customFormat="1" ht="13.2">
      <c r="A77" s="1601" t="s">
        <v>446</v>
      </c>
      <c r="B77" s="1502">
        <v>5</v>
      </c>
      <c r="C77" s="1501">
        <v>6</v>
      </c>
      <c r="D77" s="1502">
        <v>10</v>
      </c>
      <c r="E77" s="1509">
        <f t="shared" si="0"/>
        <v>16</v>
      </c>
      <c r="F77" s="1602">
        <v>6</v>
      </c>
      <c r="G77" s="1602">
        <v>10</v>
      </c>
      <c r="H77" s="1603">
        <v>16</v>
      </c>
      <c r="I77" s="1507">
        <v>4</v>
      </c>
      <c r="J77" s="1507">
        <v>1</v>
      </c>
      <c r="K77" s="1508">
        <v>5</v>
      </c>
      <c r="L77" s="1502"/>
      <c r="M77" s="1502"/>
      <c r="N77" s="1604"/>
      <c r="O77" s="1615"/>
      <c r="P77" s="1615" t="s">
        <v>917</v>
      </c>
      <c r="Q77" s="1615">
        <v>15</v>
      </c>
      <c r="R77" s="1615">
        <v>66</v>
      </c>
      <c r="S77" s="1615">
        <v>81</v>
      </c>
      <c r="T77" s="1615"/>
      <c r="U77" s="1615"/>
      <c r="V77" s="742"/>
      <c r="W77" s="742"/>
      <c r="X77" s="742"/>
      <c r="Y77" s="742"/>
      <c r="Z77" s="742"/>
      <c r="AA77" s="742"/>
      <c r="AB77" s="742"/>
      <c r="AC77" s="742"/>
      <c r="AD77" s="742"/>
      <c r="AE77" s="742"/>
      <c r="AF77" s="742"/>
      <c r="AG77" s="742"/>
      <c r="AH77" s="742"/>
      <c r="AI77" s="742"/>
      <c r="AJ77" s="742"/>
      <c r="AK77" s="742"/>
      <c r="AL77" s="742"/>
      <c r="AM77" s="742"/>
      <c r="AN77" s="742"/>
      <c r="AO77" s="742"/>
      <c r="AP77" s="742"/>
      <c r="AQ77" s="742"/>
      <c r="AR77" s="742"/>
      <c r="AS77" s="742"/>
      <c r="AT77" s="742"/>
      <c r="AU77" s="742"/>
      <c r="AV77" s="742"/>
      <c r="AW77" s="742"/>
      <c r="AX77" s="742"/>
      <c r="AY77" s="742"/>
      <c r="AZ77" s="742"/>
      <c r="BA77" s="742"/>
      <c r="BB77" s="742"/>
      <c r="BC77" s="742"/>
      <c r="BD77" s="742"/>
      <c r="BE77" s="742"/>
      <c r="BF77" s="742"/>
      <c r="BG77" s="742"/>
      <c r="BH77" s="742"/>
      <c r="BI77" s="742"/>
      <c r="BJ77" s="742"/>
      <c r="BK77" s="742"/>
      <c r="BL77" s="742"/>
      <c r="BM77" s="742"/>
      <c r="BN77" s="742"/>
      <c r="BO77" s="742"/>
      <c r="BP77" s="742"/>
      <c r="BQ77" s="742"/>
      <c r="BR77" s="742"/>
      <c r="BS77" s="742"/>
      <c r="BT77" s="742"/>
      <c r="BU77" s="742"/>
      <c r="BV77" s="742"/>
      <c r="BW77" s="742"/>
      <c r="BX77" s="742"/>
      <c r="BY77" s="742"/>
      <c r="BZ77" s="742"/>
      <c r="CA77" s="742"/>
      <c r="CB77" s="742"/>
      <c r="CC77" s="742"/>
      <c r="CD77" s="742"/>
      <c r="CE77" s="742"/>
      <c r="CF77" s="742"/>
      <c r="CG77" s="742"/>
      <c r="CH77" s="742"/>
      <c r="CI77" s="742"/>
      <c r="CJ77" s="742"/>
      <c r="CK77" s="742"/>
      <c r="CL77" s="742"/>
      <c r="CM77" s="742"/>
      <c r="CN77" s="742"/>
      <c r="CO77" s="742"/>
      <c r="CP77" s="742"/>
      <c r="CQ77" s="742"/>
      <c r="CR77" s="742"/>
      <c r="CS77" s="742"/>
      <c r="CT77" s="742"/>
      <c r="CU77" s="742"/>
      <c r="CV77" s="742"/>
      <c r="CW77" s="742"/>
      <c r="CX77" s="742"/>
      <c r="CY77" s="742"/>
      <c r="CZ77" s="742"/>
      <c r="DA77" s="742"/>
      <c r="DB77" s="742"/>
      <c r="DC77" s="742"/>
      <c r="DD77" s="742"/>
      <c r="DE77" s="742"/>
      <c r="DF77" s="742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</row>
    <row r="78" spans="1:171" s="607" customFormat="1" ht="13.2">
      <c r="A78" s="1612" t="s">
        <v>777</v>
      </c>
      <c r="B78" s="1613">
        <v>32</v>
      </c>
      <c r="C78" s="1624">
        <v>43</v>
      </c>
      <c r="D78" s="1613">
        <v>128</v>
      </c>
      <c r="E78" s="1624">
        <f t="shared" si="0"/>
        <v>171</v>
      </c>
      <c r="F78" s="1625">
        <v>42</v>
      </c>
      <c r="G78" s="1625">
        <v>118</v>
      </c>
      <c r="H78" s="1625">
        <v>160</v>
      </c>
      <c r="I78" s="1626">
        <v>11</v>
      </c>
      <c r="J78" s="1626">
        <v>11</v>
      </c>
      <c r="K78" s="1626">
        <v>22</v>
      </c>
      <c r="L78" s="1613">
        <v>2</v>
      </c>
      <c r="M78" s="1613">
        <v>6</v>
      </c>
      <c r="N78" s="1614">
        <v>8</v>
      </c>
      <c r="O78" s="1615"/>
      <c r="P78" s="1615" t="s">
        <v>918</v>
      </c>
      <c r="Q78" s="1615"/>
      <c r="R78" s="1615">
        <v>3</v>
      </c>
      <c r="S78" s="1615">
        <v>3</v>
      </c>
      <c r="T78" s="1615"/>
      <c r="U78" s="1615"/>
      <c r="V78" s="742"/>
      <c r="W78" s="742"/>
    </row>
    <row r="79" spans="1:171" s="607" customFormat="1" ht="13.2">
      <c r="A79" s="1629" t="s">
        <v>778</v>
      </c>
      <c r="B79" s="1511">
        <v>31</v>
      </c>
      <c r="C79" s="1510">
        <v>37</v>
      </c>
      <c r="D79" s="1511">
        <v>96</v>
      </c>
      <c r="E79" s="1512">
        <f t="shared" ref="E79:E142" si="1">SUM(C79:D79)</f>
        <v>133</v>
      </c>
      <c r="F79" s="1630">
        <v>34</v>
      </c>
      <c r="G79" s="1630">
        <v>85</v>
      </c>
      <c r="H79" s="1631">
        <v>119</v>
      </c>
      <c r="I79" s="1515">
        <v>8</v>
      </c>
      <c r="J79" s="1515">
        <v>18</v>
      </c>
      <c r="K79" s="1516">
        <v>26</v>
      </c>
      <c r="L79" s="1511">
        <v>2</v>
      </c>
      <c r="M79" s="1511">
        <v>1</v>
      </c>
      <c r="N79" s="1632">
        <v>3</v>
      </c>
      <c r="O79" s="1615"/>
      <c r="P79" s="1615" t="s">
        <v>919</v>
      </c>
      <c r="Q79" s="1615">
        <v>202</v>
      </c>
      <c r="R79" s="1615">
        <v>329</v>
      </c>
      <c r="S79" s="1615">
        <v>531</v>
      </c>
      <c r="T79" s="1615"/>
      <c r="U79" s="1615"/>
      <c r="V79" s="742"/>
      <c r="W79" s="742"/>
    </row>
    <row r="80" spans="1:171" s="607" customFormat="1" ht="13.8" thickBot="1">
      <c r="A80" s="1633" t="s">
        <v>779</v>
      </c>
      <c r="B80" s="1634">
        <v>31</v>
      </c>
      <c r="C80" s="1635">
        <v>37</v>
      </c>
      <c r="D80" s="1634">
        <v>96</v>
      </c>
      <c r="E80" s="1635">
        <f t="shared" si="1"/>
        <v>133</v>
      </c>
      <c r="F80" s="1636">
        <v>34</v>
      </c>
      <c r="G80" s="1636">
        <v>85</v>
      </c>
      <c r="H80" s="1636">
        <v>119</v>
      </c>
      <c r="I80" s="1637">
        <v>8</v>
      </c>
      <c r="J80" s="1637">
        <v>18</v>
      </c>
      <c r="K80" s="1637">
        <v>26</v>
      </c>
      <c r="L80" s="1634">
        <v>2</v>
      </c>
      <c r="M80" s="1634">
        <v>1</v>
      </c>
      <c r="N80" s="1638">
        <v>3</v>
      </c>
      <c r="O80" s="1615"/>
      <c r="P80" s="1615" t="s">
        <v>920</v>
      </c>
      <c r="Q80" s="1615">
        <v>13</v>
      </c>
      <c r="R80" s="1615">
        <v>68</v>
      </c>
      <c r="S80" s="1615">
        <v>81</v>
      </c>
      <c r="T80" s="1615"/>
      <c r="U80" s="1615"/>
      <c r="V80" s="742"/>
    </row>
    <row r="81" spans="1:22" s="607" customFormat="1" ht="13.2">
      <c r="A81" s="1639" t="s">
        <v>182</v>
      </c>
      <c r="B81" s="1640">
        <v>13</v>
      </c>
      <c r="C81" s="1641">
        <v>18</v>
      </c>
      <c r="D81" s="1640">
        <v>21</v>
      </c>
      <c r="E81" s="1642">
        <f t="shared" si="1"/>
        <v>39</v>
      </c>
      <c r="F81" s="1643">
        <v>18</v>
      </c>
      <c r="G81" s="1643">
        <v>21</v>
      </c>
      <c r="H81" s="1644">
        <v>39</v>
      </c>
      <c r="I81" s="1645">
        <v>2</v>
      </c>
      <c r="J81" s="1645">
        <v>6</v>
      </c>
      <c r="K81" s="1646">
        <v>8</v>
      </c>
      <c r="L81" s="1640">
        <v>1</v>
      </c>
      <c r="M81" s="1640">
        <v>2</v>
      </c>
      <c r="N81" s="1647">
        <v>3</v>
      </c>
      <c r="O81" s="1615"/>
      <c r="P81" s="1615" t="s">
        <v>921</v>
      </c>
      <c r="Q81" s="1615">
        <v>5</v>
      </c>
      <c r="R81" s="1615">
        <v>15</v>
      </c>
      <c r="S81" s="1615">
        <v>20</v>
      </c>
      <c r="T81" s="1615"/>
      <c r="U81" s="1615"/>
      <c r="V81" s="742"/>
    </row>
    <row r="82" spans="1:22" s="607" customFormat="1" ht="13.2">
      <c r="A82" s="1601" t="s">
        <v>451</v>
      </c>
      <c r="B82" s="1502">
        <v>1</v>
      </c>
      <c r="C82" s="1501">
        <v>1</v>
      </c>
      <c r="D82" s="1502"/>
      <c r="E82" s="1509">
        <f t="shared" si="1"/>
        <v>1</v>
      </c>
      <c r="F82" s="1602">
        <v>1</v>
      </c>
      <c r="G82" s="1602">
        <v>0</v>
      </c>
      <c r="H82" s="1603">
        <v>1</v>
      </c>
      <c r="I82" s="1507"/>
      <c r="J82" s="1507"/>
      <c r="K82" s="1508"/>
      <c r="L82" s="1502">
        <v>1</v>
      </c>
      <c r="M82" s="1502"/>
      <c r="N82" s="1604">
        <v>1</v>
      </c>
      <c r="O82" s="1615"/>
      <c r="P82" s="1615" t="s">
        <v>922</v>
      </c>
      <c r="Q82" s="1615">
        <v>44</v>
      </c>
      <c r="R82" s="1615">
        <v>141</v>
      </c>
      <c r="S82" s="1615">
        <v>185</v>
      </c>
      <c r="T82" s="1615"/>
      <c r="U82" s="1615"/>
      <c r="V82" s="742"/>
    </row>
    <row r="83" spans="1:22" s="607" customFormat="1" ht="13.2">
      <c r="A83" s="1601" t="s">
        <v>452</v>
      </c>
      <c r="B83" s="1502">
        <v>6</v>
      </c>
      <c r="C83" s="1501">
        <v>8</v>
      </c>
      <c r="D83" s="1502">
        <v>14</v>
      </c>
      <c r="E83" s="1509">
        <f t="shared" si="1"/>
        <v>22</v>
      </c>
      <c r="F83" s="1602">
        <v>8</v>
      </c>
      <c r="G83" s="1602">
        <v>14</v>
      </c>
      <c r="H83" s="1603">
        <v>22</v>
      </c>
      <c r="I83" s="1507">
        <v>2</v>
      </c>
      <c r="J83" s="1507">
        <v>2</v>
      </c>
      <c r="K83" s="1508">
        <v>4</v>
      </c>
      <c r="L83" s="1502"/>
      <c r="M83" s="1502">
        <v>1</v>
      </c>
      <c r="N83" s="1604">
        <v>1</v>
      </c>
      <c r="O83" s="1615"/>
      <c r="P83" s="1615" t="s">
        <v>923</v>
      </c>
      <c r="Q83" s="1615">
        <v>25</v>
      </c>
      <c r="R83" s="1615">
        <v>40</v>
      </c>
      <c r="S83" s="1615">
        <v>65</v>
      </c>
      <c r="T83" s="1615"/>
      <c r="U83" s="1615"/>
      <c r="V83" s="742"/>
    </row>
    <row r="84" spans="1:22" s="607" customFormat="1" ht="13.2">
      <c r="A84" s="1612" t="s">
        <v>780</v>
      </c>
      <c r="B84" s="1613">
        <v>20</v>
      </c>
      <c r="C84" s="1624">
        <v>27</v>
      </c>
      <c r="D84" s="1613">
        <v>35</v>
      </c>
      <c r="E84" s="1624">
        <f t="shared" si="1"/>
        <v>62</v>
      </c>
      <c r="F84" s="1625">
        <v>23</v>
      </c>
      <c r="G84" s="1625">
        <v>33</v>
      </c>
      <c r="H84" s="1625">
        <v>56</v>
      </c>
      <c r="I84" s="1626">
        <v>4</v>
      </c>
      <c r="J84" s="1626">
        <v>8</v>
      </c>
      <c r="K84" s="1626">
        <v>12</v>
      </c>
      <c r="L84" s="1613">
        <v>2</v>
      </c>
      <c r="M84" s="1613">
        <v>3</v>
      </c>
      <c r="N84" s="1614">
        <v>5</v>
      </c>
      <c r="O84" s="1615"/>
      <c r="P84" s="1615" t="s">
        <v>924</v>
      </c>
      <c r="Q84" s="1615">
        <v>20</v>
      </c>
      <c r="R84" s="1615">
        <v>29</v>
      </c>
      <c r="S84" s="1615">
        <v>49</v>
      </c>
      <c r="T84" s="1615"/>
      <c r="U84" s="1615"/>
      <c r="V84" s="742"/>
    </row>
    <row r="85" spans="1:22" s="607" customFormat="1" ht="13.2">
      <c r="A85" s="1601" t="s">
        <v>183</v>
      </c>
      <c r="B85" s="1502">
        <v>15</v>
      </c>
      <c r="C85" s="1501">
        <v>31</v>
      </c>
      <c r="D85" s="1502">
        <v>108</v>
      </c>
      <c r="E85" s="1509">
        <f t="shared" si="1"/>
        <v>139</v>
      </c>
      <c r="F85" s="1602">
        <v>31</v>
      </c>
      <c r="G85" s="1602">
        <v>105</v>
      </c>
      <c r="H85" s="1603">
        <v>136</v>
      </c>
      <c r="I85" s="1507"/>
      <c r="J85" s="1507">
        <v>7</v>
      </c>
      <c r="K85" s="1508">
        <v>7</v>
      </c>
      <c r="L85" s="1502">
        <v>2</v>
      </c>
      <c r="M85" s="1502">
        <v>2</v>
      </c>
      <c r="N85" s="1604">
        <v>4</v>
      </c>
      <c r="O85" s="1615"/>
      <c r="P85" s="1615" t="s">
        <v>925</v>
      </c>
      <c r="Q85" s="1615">
        <v>50</v>
      </c>
      <c r="R85" s="1615">
        <v>158</v>
      </c>
      <c r="S85" s="1615">
        <v>208</v>
      </c>
      <c r="T85" s="1615"/>
      <c r="U85" s="1615"/>
      <c r="V85" s="742"/>
    </row>
    <row r="86" spans="1:22" s="607" customFormat="1" ht="13.2">
      <c r="A86" s="1601" t="s">
        <v>454</v>
      </c>
      <c r="B86" s="1502">
        <v>5</v>
      </c>
      <c r="C86" s="1501">
        <v>3</v>
      </c>
      <c r="D86" s="1502">
        <v>13</v>
      </c>
      <c r="E86" s="1509">
        <f t="shared" si="1"/>
        <v>16</v>
      </c>
      <c r="F86" s="1602">
        <v>3</v>
      </c>
      <c r="G86" s="1602">
        <v>13</v>
      </c>
      <c r="H86" s="1603">
        <v>16</v>
      </c>
      <c r="I86" s="1507">
        <v>1</v>
      </c>
      <c r="J86" s="1507">
        <v>2</v>
      </c>
      <c r="K86" s="1508">
        <v>3</v>
      </c>
      <c r="L86" s="1502"/>
      <c r="M86" s="1502">
        <v>1</v>
      </c>
      <c r="N86" s="1604">
        <v>1</v>
      </c>
      <c r="O86" s="1615"/>
      <c r="P86" s="1615" t="s">
        <v>926</v>
      </c>
      <c r="Q86" s="1615">
        <v>84</v>
      </c>
      <c r="R86" s="1615">
        <v>193</v>
      </c>
      <c r="S86" s="1615">
        <v>277</v>
      </c>
      <c r="T86" s="1615"/>
      <c r="U86" s="1615"/>
    </row>
    <row r="87" spans="1:22" s="607" customFormat="1" ht="13.2">
      <c r="A87" s="1612" t="s">
        <v>781</v>
      </c>
      <c r="B87" s="1613">
        <v>20</v>
      </c>
      <c r="C87" s="1624">
        <v>34</v>
      </c>
      <c r="D87" s="1613">
        <v>121</v>
      </c>
      <c r="E87" s="1624">
        <f t="shared" si="1"/>
        <v>155</v>
      </c>
      <c r="F87" s="1625">
        <v>34</v>
      </c>
      <c r="G87" s="1625">
        <v>117</v>
      </c>
      <c r="H87" s="1625">
        <v>151</v>
      </c>
      <c r="I87" s="1626">
        <v>1</v>
      </c>
      <c r="J87" s="1626">
        <v>9</v>
      </c>
      <c r="K87" s="1626">
        <v>10</v>
      </c>
      <c r="L87" s="1613">
        <v>2</v>
      </c>
      <c r="M87" s="1613">
        <v>3</v>
      </c>
      <c r="N87" s="1614">
        <v>5</v>
      </c>
      <c r="O87" s="1615"/>
      <c r="P87" s="1615"/>
      <c r="Q87" s="1615"/>
      <c r="R87" s="1615"/>
      <c r="S87" s="1615"/>
      <c r="T87" s="1615"/>
      <c r="U87" s="1615"/>
    </row>
    <row r="88" spans="1:22" s="607" customFormat="1" ht="13.2">
      <c r="A88" s="1601" t="s">
        <v>456</v>
      </c>
      <c r="B88" s="1502">
        <v>8</v>
      </c>
      <c r="C88" s="1501">
        <v>9</v>
      </c>
      <c r="D88" s="1502">
        <v>39</v>
      </c>
      <c r="E88" s="1509">
        <f t="shared" si="1"/>
        <v>48</v>
      </c>
      <c r="F88" s="1602">
        <v>9</v>
      </c>
      <c r="G88" s="1602">
        <v>39</v>
      </c>
      <c r="H88" s="1603">
        <v>48</v>
      </c>
      <c r="I88" s="1507">
        <v>2</v>
      </c>
      <c r="J88" s="1507">
        <v>5</v>
      </c>
      <c r="K88" s="1508">
        <v>7</v>
      </c>
      <c r="L88" s="1502"/>
      <c r="M88" s="1502"/>
      <c r="N88" s="1604"/>
      <c r="O88" s="1615"/>
      <c r="P88" s="1615"/>
      <c r="Q88" s="1615"/>
      <c r="R88" s="1615"/>
      <c r="S88" s="1615"/>
      <c r="T88" s="1615"/>
      <c r="U88" s="1615"/>
    </row>
    <row r="89" spans="1:22" s="607" customFormat="1" ht="13.2">
      <c r="A89" s="1601" t="s">
        <v>457</v>
      </c>
      <c r="B89" s="1502">
        <v>7</v>
      </c>
      <c r="C89" s="1501">
        <v>5</v>
      </c>
      <c r="D89" s="1502">
        <v>19</v>
      </c>
      <c r="E89" s="1509">
        <f t="shared" si="1"/>
        <v>24</v>
      </c>
      <c r="F89" s="1602">
        <v>5</v>
      </c>
      <c r="G89" s="1602">
        <v>19</v>
      </c>
      <c r="H89" s="1603">
        <v>24</v>
      </c>
      <c r="I89" s="1507">
        <v>1</v>
      </c>
      <c r="J89" s="1507">
        <v>3</v>
      </c>
      <c r="K89" s="1508">
        <v>4</v>
      </c>
      <c r="L89" s="1502">
        <v>1</v>
      </c>
      <c r="M89" s="1502"/>
      <c r="N89" s="1604">
        <v>1</v>
      </c>
      <c r="O89" s="1615"/>
      <c r="P89" s="1615"/>
      <c r="Q89" s="1615"/>
      <c r="R89" s="1615"/>
      <c r="S89" s="1615"/>
      <c r="T89" s="1615"/>
      <c r="U89" s="1615"/>
    </row>
    <row r="90" spans="1:22" s="607" customFormat="1" ht="13.2">
      <c r="A90" s="1601" t="s">
        <v>719</v>
      </c>
      <c r="B90" s="1502">
        <v>2</v>
      </c>
      <c r="C90" s="1501">
        <v>1</v>
      </c>
      <c r="D90" s="1502">
        <v>14</v>
      </c>
      <c r="E90" s="1509">
        <f t="shared" si="1"/>
        <v>15</v>
      </c>
      <c r="F90" s="1602">
        <v>1</v>
      </c>
      <c r="G90" s="1602">
        <v>14</v>
      </c>
      <c r="H90" s="1603">
        <v>15</v>
      </c>
      <c r="I90" s="1507"/>
      <c r="J90" s="1507">
        <v>2</v>
      </c>
      <c r="K90" s="1508">
        <v>2</v>
      </c>
      <c r="L90" s="1502"/>
      <c r="M90" s="1502"/>
      <c r="N90" s="1604"/>
      <c r="O90" s="1615"/>
      <c r="P90" s="1615"/>
      <c r="Q90" s="1615"/>
      <c r="R90" s="1615"/>
      <c r="S90" s="1615"/>
      <c r="T90" s="1615"/>
      <c r="U90" s="1615"/>
    </row>
    <row r="91" spans="1:22" s="607" customFormat="1" ht="13.2">
      <c r="A91" s="1612" t="s">
        <v>782</v>
      </c>
      <c r="B91" s="1613">
        <v>17</v>
      </c>
      <c r="C91" s="1624">
        <v>15</v>
      </c>
      <c r="D91" s="1613">
        <v>72</v>
      </c>
      <c r="E91" s="1624">
        <f t="shared" si="1"/>
        <v>87</v>
      </c>
      <c r="F91" s="1625">
        <v>15</v>
      </c>
      <c r="G91" s="1625">
        <v>66</v>
      </c>
      <c r="H91" s="1625">
        <v>81</v>
      </c>
      <c r="I91" s="1626">
        <v>3</v>
      </c>
      <c r="J91" s="1626">
        <v>10</v>
      </c>
      <c r="K91" s="1626">
        <v>13</v>
      </c>
      <c r="L91" s="1613">
        <v>1</v>
      </c>
      <c r="M91" s="1613"/>
      <c r="N91" s="1614">
        <v>1</v>
      </c>
      <c r="O91" s="1615"/>
      <c r="P91" s="1615"/>
      <c r="Q91" s="1615"/>
      <c r="R91" s="1615"/>
      <c r="S91" s="1615"/>
      <c r="T91" s="1615"/>
      <c r="U91" s="1615"/>
    </row>
    <row r="92" spans="1:22" s="607" customFormat="1" ht="13.2">
      <c r="A92" s="1601" t="s">
        <v>458</v>
      </c>
      <c r="B92" s="1616">
        <v>1</v>
      </c>
      <c r="C92" s="1617"/>
      <c r="D92" s="1616">
        <v>3</v>
      </c>
      <c r="E92" s="1618">
        <f t="shared" si="1"/>
        <v>3</v>
      </c>
      <c r="F92" s="1619">
        <v>0</v>
      </c>
      <c r="G92" s="1619">
        <v>3</v>
      </c>
      <c r="H92" s="1620">
        <v>3</v>
      </c>
      <c r="I92" s="1621"/>
      <c r="J92" s="1621"/>
      <c r="K92" s="1622"/>
      <c r="L92" s="1616"/>
      <c r="M92" s="1616">
        <v>1</v>
      </c>
      <c r="N92" s="1623">
        <v>1</v>
      </c>
      <c r="O92" s="1615"/>
      <c r="P92" s="1615"/>
      <c r="Q92" s="1615"/>
      <c r="R92" s="1615"/>
      <c r="S92" s="1615"/>
      <c r="T92" s="1615"/>
      <c r="U92" s="1615"/>
    </row>
    <row r="93" spans="1:22" s="607" customFormat="1" ht="13.2">
      <c r="A93" s="1628" t="s">
        <v>459</v>
      </c>
      <c r="B93" s="1502"/>
      <c r="C93" s="1501"/>
      <c r="D93" s="1502"/>
      <c r="E93" s="1509"/>
      <c r="F93" s="1602"/>
      <c r="G93" s="1602"/>
      <c r="H93" s="1603"/>
      <c r="I93" s="1507"/>
      <c r="J93" s="1507"/>
      <c r="K93" s="1508"/>
      <c r="L93" s="1502"/>
      <c r="M93" s="1502"/>
      <c r="N93" s="1604"/>
      <c r="O93" s="1615"/>
      <c r="P93" s="1615"/>
      <c r="Q93" s="1615"/>
      <c r="R93" s="1615"/>
      <c r="S93" s="1615"/>
      <c r="T93" s="1615"/>
      <c r="U93" s="1615"/>
    </row>
    <row r="94" spans="1:22" s="607" customFormat="1" ht="13.2">
      <c r="A94" s="1612" t="s">
        <v>783</v>
      </c>
      <c r="B94" s="1613">
        <v>1</v>
      </c>
      <c r="C94" s="1624"/>
      <c r="D94" s="1613">
        <v>3</v>
      </c>
      <c r="E94" s="1624">
        <f t="shared" si="1"/>
        <v>3</v>
      </c>
      <c r="F94" s="1625">
        <v>0</v>
      </c>
      <c r="G94" s="1625">
        <v>3</v>
      </c>
      <c r="H94" s="1625">
        <v>3</v>
      </c>
      <c r="I94" s="1626"/>
      <c r="J94" s="1626"/>
      <c r="K94" s="1626"/>
      <c r="L94" s="1613"/>
      <c r="M94" s="1613">
        <v>1</v>
      </c>
      <c r="N94" s="1614">
        <v>1</v>
      </c>
      <c r="O94" s="1615"/>
      <c r="P94" s="1615"/>
      <c r="Q94" s="1615"/>
      <c r="R94" s="1615"/>
      <c r="S94" s="1615"/>
      <c r="T94" s="1615"/>
      <c r="U94" s="1615"/>
    </row>
    <row r="95" spans="1:22" s="607" customFormat="1" ht="13.2">
      <c r="A95" s="1601" t="s">
        <v>784</v>
      </c>
      <c r="B95" s="1502">
        <v>19</v>
      </c>
      <c r="C95" s="1501">
        <v>38</v>
      </c>
      <c r="D95" s="1502">
        <v>64</v>
      </c>
      <c r="E95" s="1509">
        <f t="shared" si="1"/>
        <v>102</v>
      </c>
      <c r="F95" s="1602">
        <v>24</v>
      </c>
      <c r="G95" s="1602">
        <v>39</v>
      </c>
      <c r="H95" s="1603">
        <v>63</v>
      </c>
      <c r="I95" s="1507">
        <v>1</v>
      </c>
      <c r="J95" s="1507">
        <v>1</v>
      </c>
      <c r="K95" s="1508">
        <v>2</v>
      </c>
      <c r="L95" s="1502">
        <v>4</v>
      </c>
      <c r="M95" s="1502">
        <v>13</v>
      </c>
      <c r="N95" s="1604">
        <v>17</v>
      </c>
      <c r="O95" s="1615"/>
      <c r="P95" s="1615"/>
      <c r="Q95" s="1615"/>
      <c r="R95" s="1615"/>
      <c r="S95" s="1615"/>
      <c r="T95" s="1615"/>
      <c r="U95" s="1615"/>
    </row>
    <row r="96" spans="1:22" s="607" customFormat="1" ht="13.2">
      <c r="A96" s="1601" t="s">
        <v>785</v>
      </c>
      <c r="B96" s="1502">
        <v>6</v>
      </c>
      <c r="C96" s="1501">
        <v>6</v>
      </c>
      <c r="D96" s="1502">
        <v>7</v>
      </c>
      <c r="E96" s="1509">
        <f t="shared" si="1"/>
        <v>13</v>
      </c>
      <c r="F96" s="1602">
        <v>6</v>
      </c>
      <c r="G96" s="1602">
        <v>6</v>
      </c>
      <c r="H96" s="1603">
        <v>12</v>
      </c>
      <c r="I96" s="1507">
        <v>1</v>
      </c>
      <c r="J96" s="1507"/>
      <c r="K96" s="1508">
        <v>1</v>
      </c>
      <c r="L96" s="1502">
        <v>2</v>
      </c>
      <c r="M96" s="1502">
        <v>3</v>
      </c>
      <c r="N96" s="1604">
        <v>5</v>
      </c>
      <c r="O96" s="1615"/>
      <c r="P96" s="1615"/>
      <c r="Q96" s="1615"/>
      <c r="R96" s="1615"/>
      <c r="S96" s="1615"/>
      <c r="T96" s="1615"/>
      <c r="U96" s="1615"/>
    </row>
    <row r="97" spans="1:21" s="607" customFormat="1" ht="13.2">
      <c r="A97" s="1601" t="s">
        <v>786</v>
      </c>
      <c r="B97" s="1502">
        <v>8</v>
      </c>
      <c r="C97" s="1501">
        <v>23</v>
      </c>
      <c r="D97" s="1502">
        <v>20</v>
      </c>
      <c r="E97" s="1509">
        <f t="shared" si="1"/>
        <v>43</v>
      </c>
      <c r="F97" s="1602">
        <v>23</v>
      </c>
      <c r="G97" s="1602">
        <v>20</v>
      </c>
      <c r="H97" s="1603">
        <v>43</v>
      </c>
      <c r="I97" s="1507">
        <v>2</v>
      </c>
      <c r="J97" s="1507">
        <v>3</v>
      </c>
      <c r="K97" s="1508">
        <v>5</v>
      </c>
      <c r="L97" s="1502">
        <v>1</v>
      </c>
      <c r="M97" s="1502">
        <v>1</v>
      </c>
      <c r="N97" s="1604">
        <v>2</v>
      </c>
      <c r="O97" s="1615"/>
      <c r="P97" s="1615"/>
      <c r="Q97" s="1615"/>
      <c r="R97" s="1615"/>
      <c r="S97" s="1615"/>
      <c r="T97" s="1615"/>
      <c r="U97" s="1615"/>
    </row>
    <row r="98" spans="1:21" s="607" customFormat="1" ht="13.2">
      <c r="A98" s="1601" t="s">
        <v>787</v>
      </c>
      <c r="B98" s="1502">
        <v>12</v>
      </c>
      <c r="C98" s="1501">
        <v>54</v>
      </c>
      <c r="D98" s="1502">
        <v>47</v>
      </c>
      <c r="E98" s="1509">
        <f t="shared" si="1"/>
        <v>101</v>
      </c>
      <c r="F98" s="1602">
        <v>51</v>
      </c>
      <c r="G98" s="1602">
        <v>45</v>
      </c>
      <c r="H98" s="1603">
        <v>96</v>
      </c>
      <c r="I98" s="1507">
        <v>6</v>
      </c>
      <c r="J98" s="1507">
        <v>4</v>
      </c>
      <c r="K98" s="1508">
        <v>10</v>
      </c>
      <c r="L98" s="1502"/>
      <c r="M98" s="1502"/>
      <c r="N98" s="1604"/>
      <c r="O98" s="1615"/>
      <c r="P98" s="1615"/>
      <c r="Q98" s="1615"/>
      <c r="R98" s="1615"/>
      <c r="S98" s="1615"/>
      <c r="T98" s="1615"/>
      <c r="U98" s="1615"/>
    </row>
    <row r="99" spans="1:21" s="607" customFormat="1" ht="13.2">
      <c r="A99" s="1601" t="s">
        <v>788</v>
      </c>
      <c r="B99" s="1502">
        <v>12</v>
      </c>
      <c r="C99" s="1501">
        <v>31</v>
      </c>
      <c r="D99" s="1502">
        <v>25</v>
      </c>
      <c r="E99" s="1509">
        <f t="shared" si="1"/>
        <v>56</v>
      </c>
      <c r="F99" s="1602">
        <v>30</v>
      </c>
      <c r="G99" s="1602">
        <v>23</v>
      </c>
      <c r="H99" s="1603">
        <v>53</v>
      </c>
      <c r="I99" s="1507">
        <v>3</v>
      </c>
      <c r="J99" s="1507">
        <v>2</v>
      </c>
      <c r="K99" s="1508">
        <v>5</v>
      </c>
      <c r="L99" s="1502">
        <v>5</v>
      </c>
      <c r="M99" s="1502">
        <v>2</v>
      </c>
      <c r="N99" s="1604">
        <v>7</v>
      </c>
      <c r="O99" s="1615"/>
      <c r="P99" s="1615"/>
      <c r="Q99" s="1615"/>
      <c r="R99" s="1615"/>
      <c r="S99" s="1615"/>
      <c r="T99" s="1615"/>
      <c r="U99" s="1615"/>
    </row>
    <row r="100" spans="1:21" s="607" customFormat="1" ht="13.2">
      <c r="A100" s="1601" t="s">
        <v>789</v>
      </c>
      <c r="B100" s="1502">
        <v>14</v>
      </c>
      <c r="C100" s="1501">
        <v>18</v>
      </c>
      <c r="D100" s="1502">
        <v>33</v>
      </c>
      <c r="E100" s="1509">
        <f t="shared" si="1"/>
        <v>51</v>
      </c>
      <c r="F100" s="1602">
        <v>18</v>
      </c>
      <c r="G100" s="1602">
        <v>32</v>
      </c>
      <c r="H100" s="1603">
        <v>50</v>
      </c>
      <c r="I100" s="1507">
        <v>5</v>
      </c>
      <c r="J100" s="1507">
        <v>8</v>
      </c>
      <c r="K100" s="1508">
        <v>13</v>
      </c>
      <c r="L100" s="1502"/>
      <c r="M100" s="1502"/>
      <c r="N100" s="1604"/>
      <c r="O100" s="1615"/>
      <c r="P100" s="1615"/>
      <c r="Q100" s="1615"/>
      <c r="R100" s="1615"/>
      <c r="S100" s="1615"/>
      <c r="T100" s="1615"/>
      <c r="U100" s="1615"/>
    </row>
    <row r="101" spans="1:21" s="607" customFormat="1" ht="13.2">
      <c r="A101" s="1601" t="s">
        <v>790</v>
      </c>
      <c r="B101" s="1502">
        <v>16</v>
      </c>
      <c r="C101" s="1501">
        <v>62</v>
      </c>
      <c r="D101" s="1502">
        <v>88</v>
      </c>
      <c r="E101" s="1509">
        <f t="shared" si="1"/>
        <v>150</v>
      </c>
      <c r="F101" s="1602">
        <v>61</v>
      </c>
      <c r="G101" s="1602">
        <v>85</v>
      </c>
      <c r="H101" s="1603">
        <v>146</v>
      </c>
      <c r="I101" s="1507">
        <v>6</v>
      </c>
      <c r="J101" s="1507">
        <v>6</v>
      </c>
      <c r="K101" s="1508">
        <v>12</v>
      </c>
      <c r="L101" s="1502">
        <v>1</v>
      </c>
      <c r="M101" s="1502">
        <v>3</v>
      </c>
      <c r="N101" s="1604">
        <v>4</v>
      </c>
      <c r="O101" s="1615"/>
      <c r="P101" s="1615"/>
      <c r="Q101" s="1615"/>
      <c r="R101" s="1615"/>
      <c r="S101" s="1615"/>
      <c r="T101" s="1615"/>
      <c r="U101" s="1615"/>
    </row>
    <row r="102" spans="1:21" s="607" customFormat="1" ht="13.2">
      <c r="A102" s="1601" t="s">
        <v>696</v>
      </c>
      <c r="B102" s="1502">
        <v>9</v>
      </c>
      <c r="C102" s="1501">
        <v>15</v>
      </c>
      <c r="D102" s="1502">
        <v>36</v>
      </c>
      <c r="E102" s="1509">
        <f t="shared" si="1"/>
        <v>51</v>
      </c>
      <c r="F102" s="1602">
        <v>15</v>
      </c>
      <c r="G102" s="1602">
        <v>36</v>
      </c>
      <c r="H102" s="1603">
        <v>51</v>
      </c>
      <c r="I102" s="1507">
        <v>1</v>
      </c>
      <c r="J102" s="1507">
        <v>2</v>
      </c>
      <c r="K102" s="1508">
        <v>3</v>
      </c>
      <c r="L102" s="1502">
        <v>2</v>
      </c>
      <c r="M102" s="1502">
        <v>3</v>
      </c>
      <c r="N102" s="1604">
        <v>5</v>
      </c>
      <c r="O102" s="1615"/>
      <c r="P102" s="1615"/>
      <c r="Q102" s="1615"/>
      <c r="R102" s="1615"/>
      <c r="S102" s="1615"/>
      <c r="T102" s="1615"/>
      <c r="U102" s="1615"/>
    </row>
    <row r="103" spans="1:21" s="607" customFormat="1" ht="13.2">
      <c r="A103" s="1601" t="s">
        <v>462</v>
      </c>
      <c r="B103" s="1502">
        <v>4</v>
      </c>
      <c r="C103" s="1501"/>
      <c r="D103" s="1502">
        <v>13</v>
      </c>
      <c r="E103" s="1509">
        <f t="shared" si="1"/>
        <v>13</v>
      </c>
      <c r="F103" s="1602">
        <v>0</v>
      </c>
      <c r="G103" s="1602">
        <v>13</v>
      </c>
      <c r="H103" s="1603">
        <v>13</v>
      </c>
      <c r="I103" s="1507"/>
      <c r="J103" s="1507">
        <v>3</v>
      </c>
      <c r="K103" s="1508">
        <v>3</v>
      </c>
      <c r="L103" s="1502"/>
      <c r="M103" s="1502"/>
      <c r="N103" s="1604"/>
      <c r="O103" s="1615"/>
      <c r="P103" s="1615"/>
      <c r="Q103" s="1615"/>
      <c r="R103" s="1615"/>
      <c r="S103" s="1615"/>
      <c r="T103" s="1615"/>
      <c r="U103" s="1595"/>
    </row>
    <row r="104" spans="1:21" s="607" customFormat="1" ht="13.2">
      <c r="A104" s="1601" t="s">
        <v>463</v>
      </c>
      <c r="B104" s="1502">
        <v>5</v>
      </c>
      <c r="C104" s="1501">
        <v>4</v>
      </c>
      <c r="D104" s="1502">
        <v>31</v>
      </c>
      <c r="E104" s="1509">
        <f t="shared" si="1"/>
        <v>35</v>
      </c>
      <c r="F104" s="1602">
        <v>4</v>
      </c>
      <c r="G104" s="1602">
        <v>31</v>
      </c>
      <c r="H104" s="1603">
        <v>35</v>
      </c>
      <c r="I104" s="1507">
        <v>1</v>
      </c>
      <c r="J104" s="1507">
        <v>2</v>
      </c>
      <c r="K104" s="1508">
        <v>3</v>
      </c>
      <c r="L104" s="1502"/>
      <c r="M104" s="1502">
        <v>2</v>
      </c>
      <c r="N104" s="1604">
        <v>2</v>
      </c>
      <c r="O104" s="1615"/>
      <c r="P104" s="1615"/>
      <c r="Q104" s="1615"/>
      <c r="R104" s="1615"/>
      <c r="S104" s="1615"/>
      <c r="T104" s="1615"/>
      <c r="U104" s="1595"/>
    </row>
    <row r="105" spans="1:21" s="607" customFormat="1" ht="13.2">
      <c r="A105" s="1601" t="s">
        <v>464</v>
      </c>
      <c r="B105" s="1502">
        <v>3</v>
      </c>
      <c r="C105" s="1501">
        <v>9</v>
      </c>
      <c r="D105" s="1502">
        <v>34</v>
      </c>
      <c r="E105" s="1509">
        <f t="shared" si="1"/>
        <v>43</v>
      </c>
      <c r="F105" s="1602">
        <v>9</v>
      </c>
      <c r="G105" s="1602">
        <v>34</v>
      </c>
      <c r="H105" s="1603">
        <v>43</v>
      </c>
      <c r="I105" s="1507"/>
      <c r="J105" s="1507">
        <v>2</v>
      </c>
      <c r="K105" s="1508">
        <v>2</v>
      </c>
      <c r="L105" s="1502"/>
      <c r="M105" s="1502">
        <v>1</v>
      </c>
      <c r="N105" s="1604">
        <v>1</v>
      </c>
      <c r="O105" s="1615"/>
      <c r="P105" s="1615"/>
      <c r="Q105" s="1615"/>
      <c r="R105" s="1615"/>
      <c r="S105" s="1615"/>
      <c r="T105" s="1615"/>
      <c r="U105" s="1595"/>
    </row>
    <row r="106" spans="1:21" s="607" customFormat="1" ht="13.2">
      <c r="A106" s="1612" t="s">
        <v>791</v>
      </c>
      <c r="B106" s="1613">
        <v>108</v>
      </c>
      <c r="C106" s="1624">
        <v>260</v>
      </c>
      <c r="D106" s="1613">
        <v>398</v>
      </c>
      <c r="E106" s="1624">
        <f t="shared" si="1"/>
        <v>658</v>
      </c>
      <c r="F106" s="1625">
        <v>202</v>
      </c>
      <c r="G106" s="1625">
        <v>329</v>
      </c>
      <c r="H106" s="1625">
        <v>531</v>
      </c>
      <c r="I106" s="1626">
        <v>26</v>
      </c>
      <c r="J106" s="1626">
        <v>33</v>
      </c>
      <c r="K106" s="1626">
        <v>59</v>
      </c>
      <c r="L106" s="1613">
        <v>15</v>
      </c>
      <c r="M106" s="1613">
        <v>28</v>
      </c>
      <c r="N106" s="1614">
        <v>43</v>
      </c>
      <c r="O106" s="1615"/>
      <c r="P106" s="1615"/>
      <c r="Q106" s="1615"/>
      <c r="R106" s="1615"/>
      <c r="S106" s="1615"/>
      <c r="T106" s="1615"/>
      <c r="U106" s="1595"/>
    </row>
    <row r="107" spans="1:21" s="607" customFormat="1" ht="13.2">
      <c r="A107" s="1601" t="s">
        <v>186</v>
      </c>
      <c r="B107" s="1502">
        <v>13</v>
      </c>
      <c r="C107" s="1501">
        <v>6</v>
      </c>
      <c r="D107" s="1502">
        <v>31</v>
      </c>
      <c r="E107" s="1509">
        <f t="shared" si="1"/>
        <v>37</v>
      </c>
      <c r="F107" s="1602">
        <v>6</v>
      </c>
      <c r="G107" s="1602">
        <v>30</v>
      </c>
      <c r="H107" s="1603">
        <v>36</v>
      </c>
      <c r="I107" s="1507">
        <v>2</v>
      </c>
      <c r="J107" s="1507">
        <v>9</v>
      </c>
      <c r="K107" s="1508">
        <v>11</v>
      </c>
      <c r="L107" s="1502"/>
      <c r="M107" s="1502">
        <v>1</v>
      </c>
      <c r="N107" s="1604">
        <v>1</v>
      </c>
      <c r="O107" s="1615"/>
      <c r="P107" s="1615"/>
      <c r="Q107" s="1615"/>
      <c r="R107" s="1615"/>
      <c r="S107" s="1615"/>
      <c r="T107" s="1615"/>
      <c r="U107" s="1595"/>
    </row>
    <row r="108" spans="1:21" s="607" customFormat="1" ht="13.2">
      <c r="A108" s="1601" t="s">
        <v>468</v>
      </c>
      <c r="B108" s="1502">
        <v>9</v>
      </c>
      <c r="C108" s="1501">
        <v>10</v>
      </c>
      <c r="D108" s="1502">
        <v>82</v>
      </c>
      <c r="E108" s="1509">
        <f t="shared" si="1"/>
        <v>92</v>
      </c>
      <c r="F108" s="1602">
        <v>7</v>
      </c>
      <c r="G108" s="1602">
        <v>36</v>
      </c>
      <c r="H108" s="1603">
        <v>43</v>
      </c>
      <c r="I108" s="1507">
        <v>1</v>
      </c>
      <c r="J108" s="1507">
        <v>5</v>
      </c>
      <c r="K108" s="1508">
        <v>6</v>
      </c>
      <c r="L108" s="1502"/>
      <c r="M108" s="1502"/>
      <c r="N108" s="1604"/>
      <c r="O108" s="1615"/>
      <c r="P108" s="1615"/>
      <c r="Q108" s="1615"/>
      <c r="R108" s="1615"/>
      <c r="S108" s="1615"/>
      <c r="T108" s="1615"/>
      <c r="U108" s="1595"/>
    </row>
    <row r="109" spans="1:21" s="607" customFormat="1" ht="13.2">
      <c r="A109" s="1601" t="s">
        <v>469</v>
      </c>
      <c r="B109" s="1502">
        <v>1</v>
      </c>
      <c r="C109" s="1501"/>
      <c r="D109" s="1502">
        <v>4</v>
      </c>
      <c r="E109" s="1509">
        <f t="shared" si="1"/>
        <v>4</v>
      </c>
      <c r="F109" s="1602">
        <v>0</v>
      </c>
      <c r="G109" s="1602">
        <v>4</v>
      </c>
      <c r="H109" s="1603">
        <v>4</v>
      </c>
      <c r="I109" s="1507"/>
      <c r="J109" s="1507">
        <v>1</v>
      </c>
      <c r="K109" s="1508">
        <v>1</v>
      </c>
      <c r="L109" s="1502"/>
      <c r="M109" s="1502"/>
      <c r="N109" s="1604"/>
      <c r="O109" s="1615"/>
      <c r="P109" s="1615"/>
      <c r="Q109" s="1615"/>
      <c r="R109" s="1615"/>
      <c r="S109" s="1615"/>
      <c r="T109" s="1615"/>
      <c r="U109" s="1595"/>
    </row>
    <row r="110" spans="1:21" s="607" customFormat="1" ht="13.2">
      <c r="A110" s="1612" t="s">
        <v>792</v>
      </c>
      <c r="B110" s="1613">
        <v>23</v>
      </c>
      <c r="C110" s="1624">
        <v>16</v>
      </c>
      <c r="D110" s="1613">
        <v>117</v>
      </c>
      <c r="E110" s="1624">
        <f t="shared" si="1"/>
        <v>133</v>
      </c>
      <c r="F110" s="1625">
        <v>13</v>
      </c>
      <c r="G110" s="1625">
        <v>68</v>
      </c>
      <c r="H110" s="1625">
        <v>81</v>
      </c>
      <c r="I110" s="1626">
        <v>3</v>
      </c>
      <c r="J110" s="1626">
        <v>15</v>
      </c>
      <c r="K110" s="1626">
        <v>18</v>
      </c>
      <c r="L110" s="1613"/>
      <c r="M110" s="1613">
        <v>1</v>
      </c>
      <c r="N110" s="1614">
        <v>1</v>
      </c>
      <c r="O110" s="1615"/>
      <c r="P110" s="1615"/>
      <c r="Q110" s="1615"/>
      <c r="R110" s="1615"/>
      <c r="S110" s="1615"/>
      <c r="T110" s="1615"/>
      <c r="U110" s="1595"/>
    </row>
    <row r="111" spans="1:21" s="607" customFormat="1" ht="13.2">
      <c r="A111" s="1629" t="s">
        <v>187</v>
      </c>
      <c r="B111" s="1511">
        <v>9</v>
      </c>
      <c r="C111" s="1510">
        <v>5</v>
      </c>
      <c r="D111" s="1511">
        <v>15</v>
      </c>
      <c r="E111" s="1512">
        <f t="shared" si="1"/>
        <v>20</v>
      </c>
      <c r="F111" s="1630">
        <v>5</v>
      </c>
      <c r="G111" s="1630">
        <v>15</v>
      </c>
      <c r="H111" s="1631">
        <v>20</v>
      </c>
      <c r="I111" s="1515">
        <v>3</v>
      </c>
      <c r="J111" s="1515">
        <v>6</v>
      </c>
      <c r="K111" s="1516">
        <v>9</v>
      </c>
      <c r="L111" s="1511"/>
      <c r="M111" s="1511"/>
      <c r="N111" s="1632"/>
      <c r="O111" s="1615"/>
      <c r="P111" s="1615"/>
      <c r="Q111" s="1615"/>
      <c r="R111" s="1615"/>
      <c r="S111" s="1615"/>
      <c r="T111" s="1615"/>
      <c r="U111" s="1595"/>
    </row>
    <row r="112" spans="1:21" s="607" customFormat="1" ht="13.2">
      <c r="A112" s="1612" t="s">
        <v>793</v>
      </c>
      <c r="B112" s="1613">
        <v>9</v>
      </c>
      <c r="C112" s="1624">
        <v>5</v>
      </c>
      <c r="D112" s="1613">
        <v>15</v>
      </c>
      <c r="E112" s="1624">
        <f t="shared" si="1"/>
        <v>20</v>
      </c>
      <c r="F112" s="1625">
        <v>5</v>
      </c>
      <c r="G112" s="1625">
        <v>15</v>
      </c>
      <c r="H112" s="1625">
        <v>20</v>
      </c>
      <c r="I112" s="1626">
        <v>3</v>
      </c>
      <c r="J112" s="1626">
        <v>6</v>
      </c>
      <c r="K112" s="1626">
        <v>9</v>
      </c>
      <c r="L112" s="1613"/>
      <c r="M112" s="1613"/>
      <c r="N112" s="1614"/>
      <c r="O112" s="1615"/>
      <c r="P112" s="1615"/>
      <c r="Q112" s="1615"/>
      <c r="R112" s="1615"/>
      <c r="S112" s="1615"/>
      <c r="T112" s="1615"/>
      <c r="U112" s="1595"/>
    </row>
    <row r="113" spans="1:21" s="607" customFormat="1" ht="13.2">
      <c r="A113" s="1601" t="s">
        <v>473</v>
      </c>
      <c r="B113" s="1502">
        <v>12</v>
      </c>
      <c r="C113" s="1501">
        <v>13</v>
      </c>
      <c r="D113" s="1502">
        <v>71</v>
      </c>
      <c r="E113" s="1509">
        <f t="shared" si="1"/>
        <v>84</v>
      </c>
      <c r="F113" s="1602">
        <v>13</v>
      </c>
      <c r="G113" s="1602">
        <v>69</v>
      </c>
      <c r="H113" s="1603">
        <v>82</v>
      </c>
      <c r="I113" s="1507">
        <v>2</v>
      </c>
      <c r="J113" s="1507">
        <v>7</v>
      </c>
      <c r="K113" s="1508">
        <v>9</v>
      </c>
      <c r="L113" s="1502"/>
      <c r="M113" s="1502">
        <v>2</v>
      </c>
      <c r="N113" s="1604">
        <v>2</v>
      </c>
      <c r="O113" s="1615"/>
      <c r="P113" s="1615"/>
      <c r="Q113" s="1615"/>
      <c r="R113" s="1615"/>
      <c r="S113" s="1615"/>
      <c r="T113" s="1615"/>
      <c r="U113" s="1595"/>
    </row>
    <row r="114" spans="1:21" s="607" customFormat="1" ht="13.2">
      <c r="A114" s="1601" t="s">
        <v>474</v>
      </c>
      <c r="B114" s="1502">
        <v>11</v>
      </c>
      <c r="C114" s="1501">
        <v>21</v>
      </c>
      <c r="D114" s="1502">
        <v>29</v>
      </c>
      <c r="E114" s="1509">
        <f t="shared" si="1"/>
        <v>50</v>
      </c>
      <c r="F114" s="1602">
        <v>21</v>
      </c>
      <c r="G114" s="1602">
        <v>27</v>
      </c>
      <c r="H114" s="1603">
        <v>48</v>
      </c>
      <c r="I114" s="1507">
        <v>2</v>
      </c>
      <c r="J114" s="1507">
        <v>6</v>
      </c>
      <c r="K114" s="1508">
        <v>8</v>
      </c>
      <c r="L114" s="1502">
        <v>1</v>
      </c>
      <c r="M114" s="1502">
        <v>1</v>
      </c>
      <c r="N114" s="1604">
        <v>2</v>
      </c>
      <c r="O114" s="1615"/>
      <c r="P114" s="1615"/>
      <c r="Q114" s="1615"/>
      <c r="R114" s="1615"/>
      <c r="S114" s="1615"/>
      <c r="T114" s="1615"/>
      <c r="U114" s="1595"/>
    </row>
    <row r="115" spans="1:21" s="607" customFormat="1" ht="13.2">
      <c r="A115" s="1601" t="s">
        <v>475</v>
      </c>
      <c r="B115" s="1502">
        <v>7</v>
      </c>
      <c r="C115" s="1501">
        <v>5</v>
      </c>
      <c r="D115" s="1502">
        <v>14</v>
      </c>
      <c r="E115" s="1509">
        <f t="shared" si="1"/>
        <v>19</v>
      </c>
      <c r="F115" s="1602">
        <v>5</v>
      </c>
      <c r="G115" s="1602">
        <v>14</v>
      </c>
      <c r="H115" s="1603">
        <v>19</v>
      </c>
      <c r="I115" s="1507">
        <v>2</v>
      </c>
      <c r="J115" s="1507">
        <v>4</v>
      </c>
      <c r="K115" s="1508">
        <v>6</v>
      </c>
      <c r="L115" s="1502">
        <v>1</v>
      </c>
      <c r="M115" s="1502"/>
      <c r="N115" s="1604">
        <v>1</v>
      </c>
      <c r="O115" s="1615"/>
      <c r="P115" s="1615"/>
      <c r="Q115" s="1615"/>
      <c r="R115" s="1615"/>
      <c r="S115" s="1615"/>
      <c r="T115" s="1615"/>
      <c r="U115" s="1595"/>
    </row>
    <row r="116" spans="1:21" s="607" customFormat="1" ht="13.2">
      <c r="A116" s="1601" t="s">
        <v>476</v>
      </c>
      <c r="B116" s="1502">
        <v>4</v>
      </c>
      <c r="C116" s="1501">
        <v>4</v>
      </c>
      <c r="D116" s="1502">
        <v>15</v>
      </c>
      <c r="E116" s="1509">
        <f t="shared" si="1"/>
        <v>19</v>
      </c>
      <c r="F116" s="1602">
        <v>4</v>
      </c>
      <c r="G116" s="1602">
        <v>15</v>
      </c>
      <c r="H116" s="1603">
        <v>19</v>
      </c>
      <c r="I116" s="1507">
        <v>1</v>
      </c>
      <c r="J116" s="1507">
        <v>3</v>
      </c>
      <c r="K116" s="1508">
        <v>4</v>
      </c>
      <c r="L116" s="1502"/>
      <c r="M116" s="1502"/>
      <c r="N116" s="1604"/>
      <c r="O116" s="1615"/>
      <c r="P116" s="1615"/>
      <c r="Q116" s="1615"/>
      <c r="R116" s="1615"/>
      <c r="S116" s="1615"/>
      <c r="T116" s="1615"/>
      <c r="U116" s="1595"/>
    </row>
    <row r="117" spans="1:21" s="607" customFormat="1" ht="13.2">
      <c r="A117" s="1601" t="s">
        <v>794</v>
      </c>
      <c r="B117" s="1502">
        <v>2</v>
      </c>
      <c r="C117" s="1501">
        <v>5</v>
      </c>
      <c r="D117" s="1502">
        <v>31</v>
      </c>
      <c r="E117" s="1509">
        <f t="shared" si="1"/>
        <v>36</v>
      </c>
      <c r="F117" s="1602">
        <v>5</v>
      </c>
      <c r="G117" s="1602">
        <v>31</v>
      </c>
      <c r="H117" s="1603">
        <v>36</v>
      </c>
      <c r="I117" s="1507">
        <v>1</v>
      </c>
      <c r="J117" s="1507"/>
      <c r="K117" s="1508">
        <v>1</v>
      </c>
      <c r="L117" s="1502"/>
      <c r="M117" s="1502">
        <v>1</v>
      </c>
      <c r="N117" s="1604">
        <v>1</v>
      </c>
      <c r="O117" s="1615"/>
      <c r="P117" s="1615"/>
      <c r="Q117" s="1615"/>
      <c r="R117" s="1615"/>
      <c r="S117" s="1615"/>
      <c r="T117" s="1615"/>
      <c r="U117" s="1595"/>
    </row>
    <row r="118" spans="1:21" s="607" customFormat="1" ht="13.2">
      <c r="A118" s="1601" t="s">
        <v>478</v>
      </c>
      <c r="B118" s="1502">
        <v>1</v>
      </c>
      <c r="C118" s="1501">
        <v>2</v>
      </c>
      <c r="D118" s="1502">
        <v>8</v>
      </c>
      <c r="E118" s="1509">
        <f t="shared" si="1"/>
        <v>10</v>
      </c>
      <c r="F118" s="1602">
        <v>2</v>
      </c>
      <c r="G118" s="1602">
        <v>8</v>
      </c>
      <c r="H118" s="1603">
        <v>10</v>
      </c>
      <c r="I118" s="1507"/>
      <c r="J118" s="1507">
        <v>1</v>
      </c>
      <c r="K118" s="1508">
        <v>1</v>
      </c>
      <c r="L118" s="1502"/>
      <c r="M118" s="1502"/>
      <c r="N118" s="1604"/>
      <c r="O118" s="1615"/>
      <c r="P118" s="1615"/>
      <c r="Q118" s="1615"/>
      <c r="R118" s="1615"/>
      <c r="S118" s="1615"/>
      <c r="T118" s="1615"/>
      <c r="U118" s="1595"/>
    </row>
    <row r="119" spans="1:21" s="607" customFormat="1" ht="13.2">
      <c r="A119" s="1612" t="s">
        <v>795</v>
      </c>
      <c r="B119" s="1613">
        <v>37</v>
      </c>
      <c r="C119" s="1624">
        <v>50</v>
      </c>
      <c r="D119" s="1613">
        <v>168</v>
      </c>
      <c r="E119" s="1624">
        <f t="shared" si="1"/>
        <v>218</v>
      </c>
      <c r="F119" s="1625">
        <v>44</v>
      </c>
      <c r="G119" s="1625">
        <v>141</v>
      </c>
      <c r="H119" s="1625">
        <v>185</v>
      </c>
      <c r="I119" s="1626">
        <v>8</v>
      </c>
      <c r="J119" s="1626">
        <v>21</v>
      </c>
      <c r="K119" s="1626">
        <v>29</v>
      </c>
      <c r="L119" s="1613">
        <v>2</v>
      </c>
      <c r="M119" s="1613">
        <v>4</v>
      </c>
      <c r="N119" s="1614">
        <v>6</v>
      </c>
      <c r="O119" s="1615"/>
      <c r="P119" s="1615"/>
      <c r="Q119" s="1615"/>
      <c r="R119" s="1615"/>
      <c r="S119" s="1615"/>
      <c r="T119" s="1615"/>
      <c r="U119" s="1595"/>
    </row>
    <row r="120" spans="1:21" s="607" customFormat="1" ht="13.2">
      <c r="A120" s="1601" t="s">
        <v>189</v>
      </c>
      <c r="B120" s="1502">
        <v>11</v>
      </c>
      <c r="C120" s="1501">
        <v>24</v>
      </c>
      <c r="D120" s="1502">
        <v>34</v>
      </c>
      <c r="E120" s="1509">
        <f t="shared" si="1"/>
        <v>58</v>
      </c>
      <c r="F120" s="1602">
        <v>24</v>
      </c>
      <c r="G120" s="1602">
        <v>34</v>
      </c>
      <c r="H120" s="1603">
        <v>58</v>
      </c>
      <c r="I120" s="1507">
        <v>3</v>
      </c>
      <c r="J120" s="1507">
        <v>3</v>
      </c>
      <c r="K120" s="1508">
        <v>6</v>
      </c>
      <c r="L120" s="1502">
        <v>1</v>
      </c>
      <c r="M120" s="1502">
        <v>1</v>
      </c>
      <c r="N120" s="1604">
        <v>2</v>
      </c>
      <c r="O120" s="1615"/>
      <c r="P120" s="1615"/>
      <c r="Q120" s="1615"/>
      <c r="R120" s="1615"/>
      <c r="S120" s="1615"/>
      <c r="T120" s="1615"/>
      <c r="U120" s="1595"/>
    </row>
    <row r="121" spans="1:21" s="607" customFormat="1" ht="13.2">
      <c r="A121" s="1601" t="s">
        <v>480</v>
      </c>
      <c r="B121" s="1502">
        <v>1</v>
      </c>
      <c r="C121" s="1501"/>
      <c r="D121" s="1502">
        <v>2</v>
      </c>
      <c r="E121" s="1509">
        <f t="shared" si="1"/>
        <v>2</v>
      </c>
      <c r="F121" s="1602">
        <v>0</v>
      </c>
      <c r="G121" s="1602">
        <v>2</v>
      </c>
      <c r="H121" s="1603">
        <v>2</v>
      </c>
      <c r="I121" s="1507"/>
      <c r="J121" s="1507">
        <v>1</v>
      </c>
      <c r="K121" s="1508">
        <v>1</v>
      </c>
      <c r="L121" s="1502"/>
      <c r="M121" s="1502"/>
      <c r="N121" s="1604"/>
      <c r="O121" s="1615"/>
      <c r="P121" s="1615"/>
      <c r="Q121" s="1615"/>
      <c r="R121" s="1615"/>
      <c r="S121" s="1615"/>
      <c r="T121" s="1615"/>
      <c r="U121" s="1595"/>
    </row>
    <row r="122" spans="1:21" s="607" customFormat="1" ht="13.2">
      <c r="A122" s="1629" t="s">
        <v>481</v>
      </c>
      <c r="B122" s="1511">
        <v>1</v>
      </c>
      <c r="C122" s="1510">
        <v>1</v>
      </c>
      <c r="D122" s="1511">
        <v>5</v>
      </c>
      <c r="E122" s="1512">
        <f t="shared" si="1"/>
        <v>6</v>
      </c>
      <c r="F122" s="1630">
        <v>1</v>
      </c>
      <c r="G122" s="1630">
        <v>5</v>
      </c>
      <c r="H122" s="1631">
        <v>6</v>
      </c>
      <c r="I122" s="1515">
        <v>1</v>
      </c>
      <c r="J122" s="1515"/>
      <c r="K122" s="1516">
        <v>1</v>
      </c>
      <c r="L122" s="1511"/>
      <c r="M122" s="1511"/>
      <c r="N122" s="1632"/>
      <c r="O122" s="1615"/>
      <c r="P122" s="1615"/>
      <c r="Q122" s="1615"/>
      <c r="R122" s="1615"/>
      <c r="S122" s="1615"/>
      <c r="T122" s="1615"/>
      <c r="U122" s="1595"/>
    </row>
    <row r="123" spans="1:21" s="607" customFormat="1" ht="13.2">
      <c r="A123" s="1612" t="s">
        <v>796</v>
      </c>
      <c r="B123" s="1613">
        <v>13</v>
      </c>
      <c r="C123" s="1624">
        <v>25</v>
      </c>
      <c r="D123" s="1613">
        <v>41</v>
      </c>
      <c r="E123" s="1624">
        <f t="shared" si="1"/>
        <v>66</v>
      </c>
      <c r="F123" s="1625">
        <v>25</v>
      </c>
      <c r="G123" s="1625">
        <v>41</v>
      </c>
      <c r="H123" s="1625">
        <v>66</v>
      </c>
      <c r="I123" s="1626">
        <v>4</v>
      </c>
      <c r="J123" s="1626">
        <v>4</v>
      </c>
      <c r="K123" s="1626">
        <v>8</v>
      </c>
      <c r="L123" s="1613">
        <v>1</v>
      </c>
      <c r="M123" s="1613">
        <v>1</v>
      </c>
      <c r="N123" s="1614">
        <v>2</v>
      </c>
      <c r="O123" s="1615"/>
      <c r="P123" s="1615"/>
      <c r="Q123" s="1615"/>
      <c r="R123" s="1615"/>
      <c r="S123" s="1615"/>
      <c r="T123" s="1615"/>
      <c r="U123" s="1595"/>
    </row>
    <row r="124" spans="1:21" s="607" customFormat="1" ht="13.2">
      <c r="A124" s="1601" t="s">
        <v>190</v>
      </c>
      <c r="B124" s="1502">
        <v>12</v>
      </c>
      <c r="C124" s="1501">
        <v>17</v>
      </c>
      <c r="D124" s="1502">
        <v>22</v>
      </c>
      <c r="E124" s="1509">
        <f t="shared" si="1"/>
        <v>39</v>
      </c>
      <c r="F124" s="1602">
        <v>17</v>
      </c>
      <c r="G124" s="1602">
        <v>22</v>
      </c>
      <c r="H124" s="1603">
        <v>39</v>
      </c>
      <c r="I124" s="1507">
        <v>4</v>
      </c>
      <c r="J124" s="1507">
        <v>6</v>
      </c>
      <c r="K124" s="1508">
        <v>10</v>
      </c>
      <c r="L124" s="1502">
        <v>1</v>
      </c>
      <c r="M124" s="1502">
        <v>1</v>
      </c>
      <c r="N124" s="1604">
        <v>2</v>
      </c>
      <c r="O124" s="1615"/>
      <c r="P124" s="1615"/>
      <c r="Q124" s="1615"/>
      <c r="R124" s="1615"/>
      <c r="S124" s="1615"/>
      <c r="T124" s="1615"/>
      <c r="U124" s="1595"/>
    </row>
    <row r="125" spans="1:21" s="607" customFormat="1" ht="13.2">
      <c r="A125" s="1601" t="s">
        <v>483</v>
      </c>
      <c r="B125" s="1502">
        <v>2</v>
      </c>
      <c r="C125" s="1501">
        <v>3</v>
      </c>
      <c r="D125" s="1502">
        <v>7</v>
      </c>
      <c r="E125" s="1509">
        <f t="shared" si="1"/>
        <v>10</v>
      </c>
      <c r="F125" s="1602">
        <v>3</v>
      </c>
      <c r="G125" s="1602">
        <v>7</v>
      </c>
      <c r="H125" s="1603">
        <v>10</v>
      </c>
      <c r="I125" s="1507">
        <v>1</v>
      </c>
      <c r="J125" s="1507">
        <v>1</v>
      </c>
      <c r="K125" s="1508">
        <v>2</v>
      </c>
      <c r="L125" s="1502"/>
      <c r="M125" s="1502"/>
      <c r="N125" s="1604"/>
      <c r="O125" s="1615"/>
      <c r="P125" s="1615"/>
      <c r="Q125" s="1615"/>
      <c r="R125" s="1615"/>
      <c r="S125" s="1615"/>
      <c r="T125" s="1615"/>
      <c r="U125" s="1595"/>
    </row>
    <row r="126" spans="1:21" s="607" customFormat="1" ht="13.2">
      <c r="A126" s="1612" t="s">
        <v>797</v>
      </c>
      <c r="B126" s="1613">
        <v>14</v>
      </c>
      <c r="C126" s="1624">
        <v>20</v>
      </c>
      <c r="D126" s="1613">
        <v>29</v>
      </c>
      <c r="E126" s="1624">
        <f t="shared" si="1"/>
        <v>49</v>
      </c>
      <c r="F126" s="1625">
        <v>20</v>
      </c>
      <c r="G126" s="1625">
        <v>29</v>
      </c>
      <c r="H126" s="1625">
        <v>49</v>
      </c>
      <c r="I126" s="1626">
        <v>5</v>
      </c>
      <c r="J126" s="1626">
        <v>7</v>
      </c>
      <c r="K126" s="1626">
        <v>12</v>
      </c>
      <c r="L126" s="1613">
        <v>1</v>
      </c>
      <c r="M126" s="1613">
        <v>1</v>
      </c>
      <c r="N126" s="1614">
        <v>2</v>
      </c>
      <c r="O126" s="1615"/>
      <c r="P126" s="1615"/>
      <c r="Q126" s="1615"/>
      <c r="R126" s="1615"/>
      <c r="S126" s="1615"/>
      <c r="T126" s="1615"/>
      <c r="U126" s="1595"/>
    </row>
    <row r="127" spans="1:21" s="607" customFormat="1" ht="13.2">
      <c r="A127" s="1628" t="s">
        <v>486</v>
      </c>
      <c r="B127" s="1502"/>
      <c r="C127" s="1501"/>
      <c r="D127" s="1502"/>
      <c r="E127" s="1509"/>
      <c r="F127" s="1602"/>
      <c r="G127" s="1602"/>
      <c r="H127" s="1603"/>
      <c r="I127" s="1507"/>
      <c r="J127" s="1507"/>
      <c r="K127" s="1508"/>
      <c r="L127" s="1502"/>
      <c r="M127" s="1502"/>
      <c r="N127" s="1604"/>
      <c r="O127" s="1615"/>
      <c r="P127" s="1615"/>
      <c r="Q127" s="1615"/>
      <c r="R127" s="1615"/>
      <c r="S127" s="1615"/>
      <c r="T127" s="1615"/>
      <c r="U127" s="1595"/>
    </row>
    <row r="128" spans="1:21" s="607" customFormat="1" ht="13.2">
      <c r="A128" s="1601" t="s">
        <v>487</v>
      </c>
      <c r="B128" s="1502">
        <v>12</v>
      </c>
      <c r="C128" s="1501">
        <v>22</v>
      </c>
      <c r="D128" s="1502">
        <v>49</v>
      </c>
      <c r="E128" s="1509">
        <f t="shared" si="1"/>
        <v>71</v>
      </c>
      <c r="F128" s="1602">
        <v>22</v>
      </c>
      <c r="G128" s="1602">
        <v>49</v>
      </c>
      <c r="H128" s="1603">
        <v>71</v>
      </c>
      <c r="I128" s="1507">
        <v>5</v>
      </c>
      <c r="J128" s="1507">
        <v>4</v>
      </c>
      <c r="K128" s="1508">
        <v>9</v>
      </c>
      <c r="L128" s="1502">
        <v>1</v>
      </c>
      <c r="M128" s="1502">
        <v>2</v>
      </c>
      <c r="N128" s="1604">
        <v>3</v>
      </c>
      <c r="O128" s="1615"/>
      <c r="P128" s="1615"/>
      <c r="Q128" s="1615"/>
      <c r="R128" s="1615"/>
      <c r="S128" s="1615"/>
      <c r="T128" s="1615"/>
      <c r="U128" s="1595"/>
    </row>
    <row r="129" spans="1:22" s="607" customFormat="1" ht="13.2">
      <c r="A129" s="1601" t="s">
        <v>488</v>
      </c>
      <c r="B129" s="1502">
        <v>8</v>
      </c>
      <c r="C129" s="1501">
        <v>24</v>
      </c>
      <c r="D129" s="1502">
        <v>93</v>
      </c>
      <c r="E129" s="1509">
        <f t="shared" si="1"/>
        <v>117</v>
      </c>
      <c r="F129" s="1602">
        <v>21</v>
      </c>
      <c r="G129" s="1602">
        <v>88</v>
      </c>
      <c r="H129" s="1603">
        <v>109</v>
      </c>
      <c r="I129" s="1507">
        <v>3</v>
      </c>
      <c r="J129" s="1507">
        <v>4</v>
      </c>
      <c r="K129" s="1508">
        <v>7</v>
      </c>
      <c r="L129" s="1502"/>
      <c r="M129" s="1502">
        <v>1</v>
      </c>
      <c r="N129" s="1604">
        <v>1</v>
      </c>
      <c r="O129" s="1615"/>
      <c r="P129" s="1615"/>
      <c r="Q129" s="1615"/>
      <c r="R129" s="1615"/>
      <c r="S129" s="1615"/>
      <c r="T129" s="1615"/>
      <c r="U129" s="1595"/>
    </row>
    <row r="130" spans="1:22" s="607" customFormat="1" ht="13.2">
      <c r="A130" s="1601" t="s">
        <v>489</v>
      </c>
      <c r="B130" s="1502">
        <v>3</v>
      </c>
      <c r="C130" s="1501">
        <v>3</v>
      </c>
      <c r="D130" s="1502">
        <v>13</v>
      </c>
      <c r="E130" s="1509">
        <f t="shared" si="1"/>
        <v>16</v>
      </c>
      <c r="F130" s="1602">
        <v>3</v>
      </c>
      <c r="G130" s="1602">
        <v>13</v>
      </c>
      <c r="H130" s="1603">
        <v>16</v>
      </c>
      <c r="I130" s="1507">
        <v>2</v>
      </c>
      <c r="J130" s="1507">
        <v>1</v>
      </c>
      <c r="K130" s="1508">
        <v>3</v>
      </c>
      <c r="L130" s="1502"/>
      <c r="M130" s="1502"/>
      <c r="N130" s="1604"/>
      <c r="O130" s="1615"/>
      <c r="P130" s="1615"/>
      <c r="Q130" s="1615"/>
      <c r="R130" s="1615"/>
      <c r="S130" s="1615"/>
      <c r="T130" s="1615"/>
      <c r="U130" s="1595"/>
    </row>
    <row r="131" spans="1:22" s="607" customFormat="1" ht="13.2">
      <c r="A131" s="1601" t="s">
        <v>490</v>
      </c>
      <c r="B131" s="1502">
        <v>2</v>
      </c>
      <c r="C131" s="1501">
        <v>4</v>
      </c>
      <c r="D131" s="1502">
        <v>6</v>
      </c>
      <c r="E131" s="1509">
        <f t="shared" si="1"/>
        <v>10</v>
      </c>
      <c r="F131" s="1602">
        <v>4</v>
      </c>
      <c r="G131" s="1602">
        <v>6</v>
      </c>
      <c r="H131" s="1603">
        <v>10</v>
      </c>
      <c r="I131" s="1507">
        <v>1</v>
      </c>
      <c r="J131" s="1507">
        <v>1</v>
      </c>
      <c r="K131" s="1508">
        <v>2</v>
      </c>
      <c r="L131" s="1502"/>
      <c r="M131" s="1502"/>
      <c r="N131" s="1604"/>
      <c r="O131" s="1615"/>
      <c r="P131" s="1615"/>
      <c r="Q131" s="1615"/>
      <c r="R131" s="1615"/>
      <c r="S131" s="1615"/>
      <c r="T131" s="1615"/>
      <c r="U131" s="1595"/>
    </row>
    <row r="132" spans="1:22" s="607" customFormat="1" ht="13.2">
      <c r="A132" s="1601" t="s">
        <v>491</v>
      </c>
      <c r="B132" s="1502">
        <v>4</v>
      </c>
      <c r="C132" s="1501">
        <v>5</v>
      </c>
      <c r="D132" s="1502">
        <v>26</v>
      </c>
      <c r="E132" s="1509">
        <f t="shared" si="1"/>
        <v>31</v>
      </c>
      <c r="F132" s="1602">
        <v>5</v>
      </c>
      <c r="G132" s="1602">
        <v>26</v>
      </c>
      <c r="H132" s="1603">
        <v>31</v>
      </c>
      <c r="I132" s="1507">
        <v>1</v>
      </c>
      <c r="J132" s="1507">
        <v>3</v>
      </c>
      <c r="K132" s="1508">
        <v>4</v>
      </c>
      <c r="L132" s="1502"/>
      <c r="M132" s="1502"/>
      <c r="N132" s="1604"/>
      <c r="O132" s="1615"/>
      <c r="P132" s="1615"/>
      <c r="Q132" s="1615"/>
      <c r="R132" s="1615"/>
      <c r="S132" s="1615"/>
      <c r="T132" s="1615"/>
      <c r="U132" s="1595"/>
    </row>
    <row r="133" spans="1:22" s="607" customFormat="1" ht="13.2">
      <c r="A133" s="1601" t="s">
        <v>492</v>
      </c>
      <c r="B133" s="1502">
        <v>2</v>
      </c>
      <c r="C133" s="1501"/>
      <c r="D133" s="1502">
        <v>3</v>
      </c>
      <c r="E133" s="1509">
        <f t="shared" si="1"/>
        <v>3</v>
      </c>
      <c r="F133" s="1602">
        <v>0</v>
      </c>
      <c r="G133" s="1602">
        <v>3</v>
      </c>
      <c r="H133" s="1603">
        <v>3</v>
      </c>
      <c r="I133" s="1507"/>
      <c r="J133" s="1507">
        <v>2</v>
      </c>
      <c r="K133" s="1508">
        <v>2</v>
      </c>
      <c r="L133" s="1502"/>
      <c r="M133" s="1502"/>
      <c r="N133" s="1604"/>
      <c r="O133" s="1615"/>
      <c r="P133" s="1615"/>
      <c r="Q133" s="1615"/>
      <c r="R133" s="1615"/>
      <c r="S133" s="1615"/>
      <c r="T133" s="1615"/>
      <c r="U133" s="1595"/>
    </row>
    <row r="134" spans="1:22" s="607" customFormat="1" ht="13.2">
      <c r="A134" s="1612" t="s">
        <v>798</v>
      </c>
      <c r="B134" s="1613">
        <v>31</v>
      </c>
      <c r="C134" s="1624">
        <v>58</v>
      </c>
      <c r="D134" s="1613">
        <v>190</v>
      </c>
      <c r="E134" s="1624">
        <f t="shared" si="1"/>
        <v>248</v>
      </c>
      <c r="F134" s="1625">
        <v>55</v>
      </c>
      <c r="G134" s="1625">
        <v>185</v>
      </c>
      <c r="H134" s="1625">
        <v>240</v>
      </c>
      <c r="I134" s="1626">
        <v>12</v>
      </c>
      <c r="J134" s="1626">
        <v>15</v>
      </c>
      <c r="K134" s="1626">
        <v>27</v>
      </c>
      <c r="L134" s="1613">
        <v>1</v>
      </c>
      <c r="M134" s="1613">
        <v>3</v>
      </c>
      <c r="N134" s="1614">
        <v>4</v>
      </c>
      <c r="O134" s="1615"/>
      <c r="P134" s="1615"/>
      <c r="Q134" s="1615"/>
      <c r="R134" s="1615"/>
      <c r="S134" s="1615"/>
      <c r="T134" s="1615"/>
      <c r="U134" s="1595"/>
    </row>
    <row r="135" spans="1:22" s="607" customFormat="1" ht="13.2">
      <c r="A135" s="1601" t="s">
        <v>494</v>
      </c>
      <c r="B135" s="1502">
        <v>15</v>
      </c>
      <c r="C135" s="1501">
        <v>36</v>
      </c>
      <c r="D135" s="1502">
        <v>39</v>
      </c>
      <c r="E135" s="1509">
        <f t="shared" si="1"/>
        <v>75</v>
      </c>
      <c r="F135" s="1602">
        <v>35</v>
      </c>
      <c r="G135" s="1602">
        <v>39</v>
      </c>
      <c r="H135" s="1603">
        <v>74</v>
      </c>
      <c r="I135" s="1507">
        <v>6</v>
      </c>
      <c r="J135" s="1507">
        <v>1</v>
      </c>
      <c r="K135" s="1508">
        <v>7</v>
      </c>
      <c r="L135" s="1502">
        <v>2</v>
      </c>
      <c r="M135" s="1502">
        <v>4</v>
      </c>
      <c r="N135" s="1604">
        <v>6</v>
      </c>
      <c r="O135" s="1615"/>
      <c r="P135" s="1615"/>
      <c r="Q135" s="1615"/>
      <c r="R135" s="1615"/>
      <c r="S135" s="1615"/>
      <c r="T135" s="1615"/>
      <c r="U135" s="1595"/>
    </row>
    <row r="136" spans="1:22" s="607" customFormat="1" ht="13.2">
      <c r="A136" s="1601" t="s">
        <v>495</v>
      </c>
      <c r="B136" s="1502">
        <v>14</v>
      </c>
      <c r="C136" s="1501">
        <v>43</v>
      </c>
      <c r="D136" s="1502">
        <v>189</v>
      </c>
      <c r="E136" s="1509">
        <f t="shared" si="1"/>
        <v>232</v>
      </c>
      <c r="F136" s="1602">
        <v>31</v>
      </c>
      <c r="G136" s="1602">
        <v>122</v>
      </c>
      <c r="H136" s="1603">
        <v>153</v>
      </c>
      <c r="I136" s="1507">
        <v>3</v>
      </c>
      <c r="J136" s="1507">
        <v>9</v>
      </c>
      <c r="K136" s="1508">
        <v>12</v>
      </c>
      <c r="L136" s="1502">
        <v>1</v>
      </c>
      <c r="M136" s="1502">
        <v>1</v>
      </c>
      <c r="N136" s="1604">
        <v>2</v>
      </c>
      <c r="O136" s="1615"/>
      <c r="P136" s="1615"/>
      <c r="Q136" s="1615"/>
      <c r="R136" s="1615"/>
      <c r="S136" s="1615"/>
      <c r="T136" s="1615"/>
      <c r="U136" s="1595"/>
    </row>
    <row r="137" spans="1:22" s="607" customFormat="1" ht="13.2">
      <c r="A137" s="1601" t="s">
        <v>497</v>
      </c>
      <c r="B137" s="1502">
        <v>9</v>
      </c>
      <c r="C137" s="1501">
        <v>17</v>
      </c>
      <c r="D137" s="1502">
        <v>27</v>
      </c>
      <c r="E137" s="1509">
        <f t="shared" si="1"/>
        <v>44</v>
      </c>
      <c r="F137" s="1602">
        <v>17</v>
      </c>
      <c r="G137" s="1602">
        <v>27</v>
      </c>
      <c r="H137" s="1603">
        <v>44</v>
      </c>
      <c r="I137" s="1507">
        <v>4</v>
      </c>
      <c r="J137" s="1507">
        <v>2</v>
      </c>
      <c r="K137" s="1508">
        <v>6</v>
      </c>
      <c r="L137" s="1502">
        <v>2</v>
      </c>
      <c r="M137" s="1502"/>
      <c r="N137" s="1604">
        <v>2</v>
      </c>
      <c r="O137" s="1615"/>
      <c r="P137" s="1615"/>
      <c r="Q137" s="1615"/>
      <c r="R137" s="1615"/>
      <c r="S137" s="1615"/>
      <c r="T137" s="1615"/>
      <c r="U137" s="1595"/>
    </row>
    <row r="138" spans="1:22" s="607" customFormat="1" ht="13.2">
      <c r="A138" s="1601" t="s">
        <v>566</v>
      </c>
      <c r="B138" s="1502">
        <v>2</v>
      </c>
      <c r="C138" s="1501">
        <v>3</v>
      </c>
      <c r="D138" s="1502">
        <v>11</v>
      </c>
      <c r="E138" s="1509">
        <f t="shared" si="1"/>
        <v>14</v>
      </c>
      <c r="F138" s="1602">
        <v>2</v>
      </c>
      <c r="G138" s="1602">
        <v>9</v>
      </c>
      <c r="H138" s="1603">
        <v>11</v>
      </c>
      <c r="I138" s="1507"/>
      <c r="J138" s="1507">
        <v>2</v>
      </c>
      <c r="K138" s="1508">
        <v>2</v>
      </c>
      <c r="L138" s="1502"/>
      <c r="M138" s="1502"/>
      <c r="N138" s="1604"/>
      <c r="O138" s="1615"/>
      <c r="P138" s="1615"/>
      <c r="Q138" s="1615"/>
      <c r="R138" s="1615"/>
      <c r="S138" s="1615"/>
      <c r="T138" s="1615"/>
      <c r="U138" s="1595"/>
    </row>
    <row r="139" spans="1:22" s="607" customFormat="1" ht="13.2">
      <c r="A139" s="1629" t="s">
        <v>799</v>
      </c>
      <c r="B139" s="1511">
        <v>1</v>
      </c>
      <c r="C139" s="1510"/>
      <c r="D139" s="1511">
        <v>6</v>
      </c>
      <c r="E139" s="1512">
        <f t="shared" si="1"/>
        <v>6</v>
      </c>
      <c r="F139" s="1630">
        <v>0</v>
      </c>
      <c r="G139" s="1630">
        <v>6</v>
      </c>
      <c r="H139" s="1631">
        <v>6</v>
      </c>
      <c r="I139" s="1515"/>
      <c r="J139" s="1515">
        <v>1</v>
      </c>
      <c r="K139" s="1516">
        <v>1</v>
      </c>
      <c r="L139" s="1511"/>
      <c r="M139" s="1511"/>
      <c r="N139" s="1632"/>
      <c r="O139" s="1615"/>
      <c r="P139" s="1615"/>
      <c r="Q139" s="1615"/>
      <c r="R139" s="1615"/>
      <c r="S139" s="1615"/>
      <c r="T139" s="1615"/>
      <c r="U139" s="1595"/>
    </row>
    <row r="140" spans="1:22" s="1654" customFormat="1" ht="13.8" thickBot="1">
      <c r="A140" s="1648" t="s">
        <v>800</v>
      </c>
      <c r="B140" s="1649">
        <v>41</v>
      </c>
      <c r="C140" s="1650">
        <v>99</v>
      </c>
      <c r="D140" s="1649">
        <v>272</v>
      </c>
      <c r="E140" s="1650">
        <f t="shared" si="1"/>
        <v>371</v>
      </c>
      <c r="F140" s="1651">
        <v>85</v>
      </c>
      <c r="G140" s="1651">
        <v>203</v>
      </c>
      <c r="H140" s="1651">
        <v>288</v>
      </c>
      <c r="I140" s="1652">
        <v>13</v>
      </c>
      <c r="J140" s="1652">
        <v>15</v>
      </c>
      <c r="K140" s="1652">
        <v>28</v>
      </c>
      <c r="L140" s="1649">
        <v>5</v>
      </c>
      <c r="M140" s="1649">
        <v>5</v>
      </c>
      <c r="N140" s="1653">
        <v>10</v>
      </c>
      <c r="O140" s="1615"/>
      <c r="P140" s="1615"/>
      <c r="Q140" s="1615"/>
      <c r="R140" s="1615"/>
      <c r="S140" s="1615"/>
      <c r="T140" s="1615"/>
      <c r="U140" s="1595"/>
    </row>
    <row r="141" spans="1:22" s="607" customFormat="1" ht="13.8" thickBot="1">
      <c r="A141" s="1655"/>
      <c r="B141" s="1656"/>
      <c r="C141" s="1657"/>
      <c r="D141" s="1656"/>
      <c r="E141" s="1657"/>
      <c r="F141" s="1658"/>
      <c r="G141" s="1658"/>
      <c r="H141" s="1658"/>
      <c r="I141" s="1659"/>
      <c r="J141" s="1659"/>
      <c r="K141" s="1659"/>
      <c r="L141" s="1656"/>
      <c r="M141" s="1656"/>
      <c r="N141" s="1656"/>
      <c r="O141" s="1595"/>
      <c r="P141" s="1615"/>
      <c r="Q141" s="1615"/>
      <c r="R141" s="1615"/>
      <c r="S141" s="1615"/>
      <c r="T141" s="1615"/>
      <c r="U141" s="1595"/>
    </row>
    <row r="142" spans="1:22" s="607" customFormat="1" ht="13.8" thickBot="1">
      <c r="A142" s="1660" t="s">
        <v>382</v>
      </c>
      <c r="B142" s="1661">
        <v>715</v>
      </c>
      <c r="C142" s="1662">
        <v>1208</v>
      </c>
      <c r="D142" s="1661">
        <v>3084</v>
      </c>
      <c r="E142" s="1662">
        <f t="shared" si="1"/>
        <v>4292</v>
      </c>
      <c r="F142" s="1663">
        <v>624</v>
      </c>
      <c r="G142" s="1663">
        <v>1317</v>
      </c>
      <c r="H142" s="1663">
        <v>1941</v>
      </c>
      <c r="I142" s="1664">
        <v>181</v>
      </c>
      <c r="J142" s="1664">
        <v>325</v>
      </c>
      <c r="K142" s="1664">
        <v>506</v>
      </c>
      <c r="L142" s="1661">
        <f>L15+L18+L22+L27+L29+L32+L34+L41+L43+L49+L51+L60+L62+L72+L78+L80+L84+L87+L91+L94+L106+L110+L112+L119+L123+L126+L134+L140</f>
        <v>43</v>
      </c>
      <c r="M142" s="1661">
        <f>M15+M18+M22+M27+M29+M32+M34+M41+M43+M49+M51+M60+M62+M72+M78+M80+M84+M87+M91+M94+M106+M110+M112+M119+M123+M126+M134+M140</f>
        <v>89</v>
      </c>
      <c r="N142" s="1665">
        <f>SUM(L142:M142)</f>
        <v>132</v>
      </c>
      <c r="O142" s="1595"/>
      <c r="P142" s="1615"/>
      <c r="Q142" s="1615"/>
      <c r="R142" s="1615"/>
      <c r="S142" s="1615"/>
      <c r="T142" s="1615"/>
      <c r="U142" s="1595"/>
    </row>
    <row r="143" spans="1:22" s="607" customFormat="1" ht="13.2">
      <c r="B143" s="493"/>
      <c r="F143" s="1666"/>
      <c r="O143" s="1595"/>
      <c r="P143" s="1615"/>
      <c r="Q143" s="1615"/>
      <c r="R143" s="1615"/>
      <c r="S143" s="1615"/>
      <c r="T143" s="1615"/>
      <c r="U143" s="1595"/>
      <c r="V143" s="1595"/>
    </row>
    <row r="144" spans="1:22" s="607" customFormat="1" ht="13.2">
      <c r="B144" s="493"/>
      <c r="F144" s="1666"/>
      <c r="O144" s="1595"/>
      <c r="P144" s="1615"/>
      <c r="Q144" s="1615"/>
      <c r="R144" s="1615"/>
      <c r="S144" s="1615"/>
      <c r="T144" s="1615"/>
      <c r="U144" s="1595"/>
      <c r="V144" s="1595"/>
    </row>
    <row r="145" spans="2:22" s="607" customFormat="1" ht="13.2">
      <c r="B145" s="493"/>
      <c r="F145" s="1666"/>
      <c r="O145" s="1595"/>
      <c r="P145" s="1615"/>
      <c r="Q145" s="1615"/>
      <c r="R145" s="1615"/>
      <c r="S145" s="1615"/>
      <c r="T145" s="1615"/>
      <c r="U145" s="1595"/>
      <c r="V145" s="1595"/>
    </row>
    <row r="146" spans="2:22" s="607" customFormat="1" ht="13.2">
      <c r="B146" s="493"/>
      <c r="F146" s="1666"/>
      <c r="O146" s="1595"/>
      <c r="P146" s="1615"/>
      <c r="Q146" s="1615"/>
      <c r="R146" s="1615"/>
      <c r="S146" s="1615"/>
      <c r="T146" s="1615"/>
      <c r="U146" s="1595"/>
      <c r="V146" s="1595"/>
    </row>
    <row r="147" spans="2:22" s="607" customFormat="1" ht="13.2">
      <c r="B147" s="493"/>
      <c r="F147" s="1666"/>
      <c r="O147" s="1595"/>
      <c r="P147" s="1615"/>
      <c r="Q147" s="1615"/>
      <c r="R147" s="1615"/>
      <c r="S147" s="1615"/>
      <c r="T147" s="1615"/>
      <c r="U147" s="1595"/>
      <c r="V147" s="1595"/>
    </row>
    <row r="148" spans="2:22" s="607" customFormat="1" ht="13.2">
      <c r="B148" s="493"/>
      <c r="F148" s="1666"/>
      <c r="O148" s="1595"/>
      <c r="P148" s="1615"/>
      <c r="Q148" s="1615"/>
      <c r="R148" s="1615"/>
      <c r="S148" s="1615"/>
      <c r="T148" s="1615"/>
      <c r="U148" s="1595"/>
      <c r="V148" s="1595"/>
    </row>
    <row r="149" spans="2:22" s="607" customFormat="1" ht="13.2">
      <c r="B149" s="493"/>
      <c r="F149" s="1666"/>
      <c r="O149" s="1595"/>
      <c r="P149" s="1615"/>
      <c r="Q149" s="1615"/>
      <c r="R149" s="1615"/>
      <c r="S149" s="1615"/>
      <c r="T149" s="1615"/>
      <c r="U149" s="1595"/>
      <c r="V149" s="1595"/>
    </row>
    <row r="150" spans="2:22" s="607" customFormat="1" ht="13.2">
      <c r="B150" s="493"/>
      <c r="F150" s="1666"/>
      <c r="O150" s="1595"/>
      <c r="P150" s="1615"/>
      <c r="Q150" s="1615"/>
      <c r="R150" s="1615"/>
      <c r="S150" s="1615"/>
      <c r="T150" s="1615"/>
      <c r="U150" s="1595"/>
      <c r="V150" s="1595"/>
    </row>
    <row r="151" spans="2:22" s="607" customFormat="1" ht="13.2">
      <c r="B151" s="493"/>
      <c r="F151" s="1666"/>
      <c r="O151" s="1595"/>
      <c r="P151" s="1615"/>
      <c r="Q151" s="1615"/>
      <c r="R151" s="1615"/>
      <c r="S151" s="1615"/>
      <c r="T151" s="1615"/>
      <c r="U151" s="1595"/>
      <c r="V151" s="1595"/>
    </row>
    <row r="152" spans="2:22" s="607" customFormat="1" ht="13.2">
      <c r="B152" s="493"/>
      <c r="F152" s="1666"/>
      <c r="O152" s="1595"/>
      <c r="P152" s="1615"/>
      <c r="Q152" s="1615"/>
      <c r="R152" s="1615"/>
      <c r="S152" s="1615"/>
      <c r="T152" s="1615"/>
      <c r="U152" s="1595"/>
      <c r="V152" s="1595"/>
    </row>
    <row r="153" spans="2:22" s="607" customFormat="1" ht="13.2">
      <c r="B153" s="493"/>
      <c r="F153" s="1666"/>
      <c r="O153" s="1595"/>
      <c r="P153" s="1615"/>
      <c r="Q153" s="1615"/>
      <c r="R153" s="1615"/>
      <c r="S153" s="1615"/>
      <c r="T153" s="1615"/>
      <c r="U153" s="1595"/>
      <c r="V153" s="1595"/>
    </row>
    <row r="154" spans="2:22" s="607" customFormat="1" ht="13.2">
      <c r="B154" s="493"/>
      <c r="F154" s="1666"/>
      <c r="O154" s="1595"/>
      <c r="P154" s="1615"/>
      <c r="Q154" s="1615"/>
      <c r="R154" s="1615"/>
      <c r="S154" s="1615"/>
      <c r="T154" s="1615"/>
      <c r="U154" s="1595"/>
      <c r="V154" s="1595"/>
    </row>
    <row r="155" spans="2:22" s="607" customFormat="1" ht="13.2">
      <c r="B155" s="493"/>
      <c r="F155" s="1666"/>
      <c r="O155" s="1595"/>
      <c r="P155" s="1615"/>
      <c r="Q155" s="1615"/>
      <c r="R155" s="1615"/>
      <c r="S155" s="1615"/>
      <c r="T155" s="1615"/>
      <c r="U155" s="1595"/>
      <c r="V155" s="1595"/>
    </row>
    <row r="156" spans="2:22" s="607" customFormat="1" ht="13.2">
      <c r="B156" s="493"/>
      <c r="F156" s="1666"/>
      <c r="O156" s="1595"/>
      <c r="P156" s="1615"/>
      <c r="Q156" s="1615"/>
      <c r="R156" s="1615"/>
      <c r="S156" s="1615"/>
      <c r="T156" s="1615"/>
      <c r="U156" s="1595"/>
      <c r="V156" s="1595"/>
    </row>
    <row r="157" spans="2:22" s="607" customFormat="1" ht="13.2">
      <c r="B157" s="493"/>
      <c r="F157" s="1666"/>
      <c r="O157" s="1595"/>
      <c r="P157" s="1615"/>
      <c r="Q157" s="1615"/>
      <c r="R157" s="1615"/>
      <c r="S157" s="1615"/>
      <c r="T157" s="1615"/>
      <c r="U157" s="1595"/>
      <c r="V157" s="1595"/>
    </row>
    <row r="158" spans="2:22" s="607" customFormat="1" ht="13.2">
      <c r="B158" s="493"/>
      <c r="F158" s="1666"/>
      <c r="O158" s="1595"/>
      <c r="P158" s="1615"/>
      <c r="Q158" s="1615"/>
      <c r="R158" s="1615"/>
      <c r="S158" s="1615"/>
      <c r="T158" s="1615"/>
      <c r="U158" s="1595"/>
      <c r="V158" s="1654"/>
    </row>
    <row r="159" spans="2:22" s="607" customFormat="1" ht="13.2">
      <c r="B159" s="493"/>
      <c r="F159" s="1666"/>
      <c r="O159" s="1595"/>
      <c r="P159" s="1615"/>
      <c r="Q159" s="1615"/>
      <c r="R159" s="1615"/>
      <c r="S159" s="1615"/>
      <c r="T159" s="1615"/>
      <c r="U159" s="1595"/>
      <c r="V159" s="1595"/>
    </row>
    <row r="160" spans="2:22" s="607" customFormat="1" ht="13.2">
      <c r="B160" s="493"/>
      <c r="F160" s="1666"/>
      <c r="O160" s="1595"/>
      <c r="P160" s="1615"/>
      <c r="Q160" s="1615"/>
      <c r="R160" s="1615"/>
      <c r="S160" s="1615"/>
      <c r="T160" s="1615"/>
      <c r="U160" s="1595"/>
      <c r="V160" s="1595"/>
    </row>
    <row r="161" spans="2:22" s="607" customFormat="1" ht="13.2">
      <c r="B161" s="493"/>
      <c r="F161" s="1666"/>
      <c r="O161" s="1595"/>
      <c r="P161" s="1615"/>
      <c r="Q161" s="1615"/>
      <c r="R161" s="1615"/>
      <c r="S161" s="1615"/>
      <c r="T161" s="1615"/>
      <c r="U161" s="1595"/>
      <c r="V161" s="1595"/>
    </row>
    <row r="162" spans="2:22" s="607" customFormat="1" ht="13.2">
      <c r="B162" s="493"/>
      <c r="F162" s="1666"/>
      <c r="O162" s="1595"/>
      <c r="P162" s="1615"/>
      <c r="Q162" s="1615"/>
      <c r="R162" s="1615"/>
      <c r="S162" s="1615"/>
      <c r="T162" s="1615"/>
      <c r="U162" s="1595"/>
      <c r="V162" s="1595"/>
    </row>
    <row r="163" spans="2:22" s="607" customFormat="1" ht="13.2">
      <c r="B163" s="493"/>
      <c r="F163" s="1666"/>
      <c r="O163" s="1595"/>
      <c r="P163" s="1615"/>
      <c r="Q163" s="1615"/>
      <c r="R163" s="1615"/>
      <c r="S163" s="1615"/>
      <c r="T163" s="1615"/>
      <c r="U163" s="1595"/>
      <c r="V163" s="1595"/>
    </row>
    <row r="164" spans="2:22" s="607" customFormat="1" ht="13.2">
      <c r="B164" s="493"/>
      <c r="F164" s="1666"/>
      <c r="O164" s="1595"/>
      <c r="P164" s="1615"/>
      <c r="Q164" s="1615"/>
      <c r="R164" s="1615"/>
      <c r="S164" s="1615"/>
      <c r="T164" s="1615"/>
      <c r="U164" s="1595"/>
      <c r="V164" s="1595"/>
    </row>
    <row r="165" spans="2:22" s="607" customFormat="1" ht="13.2">
      <c r="B165" s="493"/>
      <c r="F165" s="1666"/>
      <c r="O165" s="1595"/>
      <c r="P165" s="1615"/>
      <c r="Q165" s="1615"/>
      <c r="R165" s="1615"/>
      <c r="S165" s="1615"/>
      <c r="T165" s="1615"/>
      <c r="U165" s="1595"/>
      <c r="V165" s="1595"/>
    </row>
    <row r="166" spans="2:22" s="607" customFormat="1" ht="13.2">
      <c r="B166" s="493"/>
      <c r="F166" s="1666"/>
      <c r="O166" s="1595"/>
      <c r="P166" s="1615"/>
      <c r="Q166" s="1615"/>
      <c r="R166" s="1615"/>
      <c r="S166" s="1615"/>
      <c r="T166" s="1615"/>
      <c r="U166" s="1595"/>
      <c r="V166" s="1595"/>
    </row>
    <row r="167" spans="2:22" s="607" customFormat="1" ht="13.2">
      <c r="B167" s="493"/>
      <c r="F167" s="1666"/>
      <c r="O167" s="1595"/>
      <c r="P167" s="1615"/>
      <c r="Q167" s="1615"/>
      <c r="R167" s="1615"/>
      <c r="S167" s="1615"/>
      <c r="T167" s="1615"/>
      <c r="U167" s="1595"/>
      <c r="V167" s="1595"/>
    </row>
    <row r="168" spans="2:22" s="607" customFormat="1" ht="13.2">
      <c r="B168" s="493"/>
      <c r="F168" s="1666"/>
      <c r="O168" s="1595"/>
      <c r="P168" s="1615"/>
      <c r="Q168" s="1615"/>
      <c r="R168" s="1615"/>
      <c r="S168" s="1615"/>
      <c r="T168" s="1615"/>
      <c r="U168" s="1595"/>
      <c r="V168" s="1595"/>
    </row>
    <row r="169" spans="2:22" s="607" customFormat="1" ht="13.2">
      <c r="B169" s="493"/>
      <c r="F169" s="1666"/>
      <c r="O169" s="1595"/>
      <c r="P169" s="1615"/>
      <c r="Q169" s="1615"/>
      <c r="R169" s="1615"/>
      <c r="S169" s="1615"/>
      <c r="T169" s="1615"/>
      <c r="U169" s="1595"/>
      <c r="V169" s="1595"/>
    </row>
    <row r="170" spans="2:22" s="607" customFormat="1" ht="13.2">
      <c r="B170" s="493"/>
      <c r="F170" s="1666"/>
      <c r="O170" s="1595"/>
      <c r="P170" s="1615"/>
      <c r="Q170" s="1615"/>
      <c r="R170" s="1615"/>
      <c r="S170" s="1615"/>
      <c r="T170" s="1615"/>
      <c r="U170" s="1595"/>
      <c r="V170" s="1595"/>
    </row>
    <row r="171" spans="2:22" s="607" customFormat="1" ht="13.2">
      <c r="B171" s="493"/>
      <c r="F171" s="1666"/>
      <c r="O171" s="1595"/>
      <c r="P171" s="1615"/>
      <c r="Q171" s="1615"/>
      <c r="R171" s="1615"/>
      <c r="S171" s="1615"/>
      <c r="T171" s="1615"/>
      <c r="U171" s="1595"/>
      <c r="V171" s="1595"/>
    </row>
    <row r="172" spans="2:22" s="607" customFormat="1" ht="13.2">
      <c r="B172" s="493"/>
      <c r="F172" s="1666"/>
      <c r="O172" s="1595"/>
      <c r="P172" s="1615"/>
      <c r="Q172" s="1615"/>
      <c r="R172" s="1615"/>
      <c r="S172" s="1615"/>
      <c r="T172" s="1615"/>
      <c r="U172" s="1595"/>
      <c r="V172" s="1595"/>
    </row>
    <row r="173" spans="2:22" s="607" customFormat="1" ht="13.2">
      <c r="B173" s="493"/>
      <c r="F173" s="1666"/>
      <c r="O173" s="1595"/>
      <c r="P173" s="1615"/>
      <c r="Q173" s="1615"/>
      <c r="R173" s="1615"/>
      <c r="S173" s="1615"/>
      <c r="T173" s="1615"/>
      <c r="U173" s="1595"/>
      <c r="V173" s="1595"/>
    </row>
    <row r="174" spans="2:22" s="607" customFormat="1" ht="13.2">
      <c r="B174" s="493"/>
      <c r="F174" s="1666"/>
      <c r="O174" s="1595"/>
      <c r="P174" s="1615"/>
      <c r="Q174" s="1615"/>
      <c r="R174" s="1615"/>
      <c r="S174" s="1615"/>
      <c r="T174" s="1615"/>
      <c r="U174" s="1595"/>
      <c r="V174" s="1595"/>
    </row>
    <row r="175" spans="2:22" s="607" customFormat="1" ht="13.2">
      <c r="B175" s="493"/>
      <c r="F175" s="1666"/>
      <c r="O175" s="1595"/>
      <c r="P175" s="1615"/>
      <c r="Q175" s="1615"/>
      <c r="R175" s="1615"/>
      <c r="S175" s="1615"/>
      <c r="T175" s="1615"/>
      <c r="U175" s="1595"/>
      <c r="V175" s="1595"/>
    </row>
    <row r="176" spans="2:22" s="607" customFormat="1" ht="13.2">
      <c r="B176" s="493"/>
      <c r="F176" s="1666"/>
      <c r="O176" s="1595"/>
      <c r="P176" s="1615"/>
      <c r="Q176" s="1615"/>
      <c r="R176" s="1615"/>
      <c r="S176" s="1615"/>
      <c r="T176" s="1615"/>
      <c r="U176" s="1595"/>
      <c r="V176" s="1595"/>
    </row>
    <row r="177" spans="2:22" s="607" customFormat="1" ht="13.2">
      <c r="B177" s="493"/>
      <c r="F177" s="1666"/>
      <c r="O177" s="1595"/>
      <c r="P177" s="1615"/>
      <c r="Q177" s="1615"/>
      <c r="R177" s="1615"/>
      <c r="S177" s="1615"/>
      <c r="T177" s="1615"/>
      <c r="U177" s="1595"/>
      <c r="V177" s="1595"/>
    </row>
    <row r="178" spans="2:22" s="607" customFormat="1" ht="13.2">
      <c r="B178" s="493"/>
      <c r="F178" s="1666"/>
      <c r="O178" s="1595"/>
      <c r="P178" s="1615"/>
      <c r="Q178" s="1615"/>
      <c r="R178" s="1615"/>
      <c r="S178" s="1615"/>
      <c r="T178" s="1615"/>
      <c r="U178" s="1595"/>
      <c r="V178" s="1595"/>
    </row>
    <row r="179" spans="2:22" s="607" customFormat="1" ht="13.2">
      <c r="B179" s="493"/>
      <c r="F179" s="1666"/>
      <c r="O179" s="1595"/>
      <c r="P179" s="1615"/>
      <c r="Q179" s="1615"/>
      <c r="R179" s="1615"/>
      <c r="S179" s="1615"/>
      <c r="T179" s="1595"/>
      <c r="U179" s="1595"/>
      <c r="V179" s="1595"/>
    </row>
    <row r="180" spans="2:22" s="607" customFormat="1" ht="13.2">
      <c r="B180" s="493"/>
      <c r="F180" s="1666"/>
      <c r="O180" s="1595"/>
      <c r="P180" s="1615"/>
      <c r="Q180" s="1615"/>
      <c r="R180" s="1615"/>
      <c r="S180" s="1615"/>
      <c r="T180" s="1595"/>
      <c r="U180" s="1595"/>
      <c r="V180" s="1595"/>
    </row>
    <row r="181" spans="2:22" s="607" customFormat="1" ht="13.2">
      <c r="B181" s="493"/>
      <c r="F181" s="1666"/>
      <c r="O181" s="1595"/>
      <c r="P181" s="1615"/>
      <c r="Q181" s="1615"/>
      <c r="R181" s="1615"/>
      <c r="S181" s="1615"/>
      <c r="T181" s="1595"/>
      <c r="U181" s="1595"/>
      <c r="V181" s="1595"/>
    </row>
    <row r="182" spans="2:22" s="607" customFormat="1" ht="13.2">
      <c r="B182" s="493"/>
      <c r="F182" s="1666"/>
      <c r="O182" s="1595"/>
      <c r="P182" s="1615"/>
      <c r="Q182" s="1615"/>
      <c r="R182" s="1615"/>
      <c r="S182" s="1615"/>
      <c r="T182" s="1595"/>
      <c r="U182" s="1595"/>
      <c r="V182" s="1595"/>
    </row>
    <row r="183" spans="2:22" s="607" customFormat="1" ht="13.2">
      <c r="B183" s="493"/>
      <c r="F183" s="1666"/>
      <c r="O183" s="1595"/>
      <c r="P183" s="1615"/>
      <c r="Q183" s="1615"/>
      <c r="R183" s="1615"/>
      <c r="S183" s="1615"/>
      <c r="T183" s="1595"/>
      <c r="U183" s="1595"/>
      <c r="V183" s="1595"/>
    </row>
    <row r="184" spans="2:22" s="607" customFormat="1" ht="13.2">
      <c r="B184" s="493"/>
      <c r="F184" s="1666"/>
      <c r="O184" s="1595"/>
      <c r="P184" s="1615"/>
      <c r="Q184" s="1615"/>
      <c r="R184" s="1615"/>
      <c r="S184" s="1615"/>
      <c r="T184" s="1595"/>
      <c r="U184" s="1595"/>
      <c r="V184" s="1595"/>
    </row>
    <row r="185" spans="2:22" s="607" customFormat="1" ht="13.2">
      <c r="B185" s="493"/>
      <c r="F185" s="1666"/>
      <c r="O185" s="1595"/>
      <c r="P185" s="1615"/>
      <c r="Q185" s="1615"/>
      <c r="R185" s="1615"/>
      <c r="S185" s="1615"/>
      <c r="T185" s="1595"/>
      <c r="U185" s="1595"/>
      <c r="V185" s="1595"/>
    </row>
    <row r="186" spans="2:22" s="607" customFormat="1" ht="13.2">
      <c r="B186" s="493"/>
      <c r="F186" s="1666"/>
      <c r="O186" s="1595"/>
      <c r="P186" s="1615"/>
      <c r="Q186" s="1615"/>
      <c r="R186" s="1615"/>
      <c r="S186" s="1615"/>
      <c r="T186" s="1595"/>
      <c r="U186" s="1595"/>
      <c r="V186" s="1595"/>
    </row>
    <row r="187" spans="2:22" s="607" customFormat="1" ht="13.2">
      <c r="B187" s="493"/>
      <c r="F187" s="1666"/>
      <c r="O187" s="1595"/>
      <c r="Q187" s="1615"/>
      <c r="R187" s="1615"/>
      <c r="S187" s="1615"/>
      <c r="T187" s="1615"/>
      <c r="U187" s="1595"/>
      <c r="V187" s="1595"/>
    </row>
    <row r="188" spans="2:22" s="607" customFormat="1" ht="13.2">
      <c r="B188" s="493"/>
      <c r="F188" s="1666"/>
      <c r="O188" s="1595"/>
      <c r="Q188" s="1615"/>
      <c r="R188" s="1615"/>
      <c r="S188" s="1615"/>
      <c r="T188" s="1615"/>
      <c r="U188" s="1595"/>
      <c r="V188" s="1595"/>
    </row>
    <row r="189" spans="2:22" s="607" customFormat="1" ht="13.2">
      <c r="B189" s="493"/>
      <c r="F189" s="1666"/>
      <c r="O189" s="1595"/>
      <c r="Q189" s="1615"/>
      <c r="R189" s="1615"/>
      <c r="S189" s="1615"/>
      <c r="T189" s="1615"/>
      <c r="U189" s="1595"/>
      <c r="V189" s="1595"/>
    </row>
    <row r="190" spans="2:22" s="607" customFormat="1" ht="13.2">
      <c r="B190" s="493"/>
      <c r="F190" s="1666"/>
      <c r="O190" s="1595"/>
      <c r="Q190" s="1615"/>
      <c r="R190" s="1615"/>
      <c r="S190" s="1615"/>
      <c r="T190" s="1615"/>
      <c r="U190" s="1595"/>
      <c r="V190" s="1595"/>
    </row>
    <row r="191" spans="2:22" s="607" customFormat="1" ht="13.2">
      <c r="B191" s="493"/>
      <c r="F191" s="1666"/>
      <c r="O191" s="1595"/>
      <c r="Q191" s="1615"/>
      <c r="R191" s="1615"/>
      <c r="S191" s="1615"/>
      <c r="T191" s="1615"/>
      <c r="U191" s="1595"/>
      <c r="V191" s="1595"/>
    </row>
    <row r="192" spans="2:22" s="607" customFormat="1" ht="13.2">
      <c r="B192" s="493"/>
      <c r="F192" s="1666"/>
      <c r="O192" s="1595"/>
      <c r="Q192" s="1615"/>
      <c r="R192" s="1615"/>
      <c r="S192" s="1615"/>
      <c r="T192" s="1615"/>
      <c r="U192" s="1595"/>
      <c r="V192" s="1595"/>
    </row>
    <row r="193" spans="2:22" s="607" customFormat="1" ht="13.2">
      <c r="B193" s="493"/>
      <c r="F193" s="1666"/>
      <c r="O193" s="1595"/>
      <c r="Q193" s="1615"/>
      <c r="R193" s="1615"/>
      <c r="S193" s="1615"/>
      <c r="T193" s="1615"/>
      <c r="U193" s="1595"/>
      <c r="V193" s="1595"/>
    </row>
    <row r="194" spans="2:22" s="607" customFormat="1" ht="13.2">
      <c r="B194" s="493"/>
      <c r="F194" s="1666"/>
      <c r="O194" s="1595"/>
      <c r="Q194" s="1615"/>
      <c r="R194" s="1615"/>
      <c r="S194" s="1615"/>
      <c r="T194" s="1615"/>
      <c r="U194" s="1595"/>
      <c r="V194" s="1595"/>
    </row>
    <row r="195" spans="2:22" s="607" customFormat="1" ht="13.2">
      <c r="B195" s="493"/>
      <c r="F195" s="1666"/>
      <c r="O195" s="1595"/>
      <c r="Q195" s="1615"/>
      <c r="R195" s="1615"/>
      <c r="S195" s="1615"/>
      <c r="T195" s="1615"/>
      <c r="U195" s="1595"/>
      <c r="V195" s="1595"/>
    </row>
    <row r="196" spans="2:22" s="607" customFormat="1" ht="13.2">
      <c r="B196" s="493"/>
      <c r="F196" s="1666"/>
      <c r="O196" s="1595"/>
      <c r="Q196" s="1615"/>
      <c r="R196" s="1615"/>
      <c r="S196" s="1615"/>
      <c r="T196" s="1615"/>
      <c r="U196" s="1654"/>
      <c r="V196" s="1595"/>
    </row>
    <row r="197" spans="2:22" s="607" customFormat="1" ht="13.2">
      <c r="B197" s="493"/>
      <c r="F197" s="1666"/>
      <c r="O197" s="1595"/>
      <c r="Q197" s="1615"/>
      <c r="R197" s="1615"/>
      <c r="S197" s="1615"/>
      <c r="T197" s="1615"/>
      <c r="U197" s="1595"/>
      <c r="V197" s="1595"/>
    </row>
    <row r="198" spans="2:22" s="607" customFormat="1" ht="13.2">
      <c r="B198" s="493"/>
      <c r="F198" s="1666"/>
      <c r="O198" s="1595"/>
      <c r="Q198" s="1615"/>
      <c r="R198" s="1615"/>
      <c r="S198" s="1615"/>
      <c r="T198" s="1615"/>
      <c r="U198" s="1595"/>
      <c r="V198" s="1595"/>
    </row>
    <row r="199" spans="2:22" s="607" customFormat="1" ht="13.2">
      <c r="B199" s="493"/>
      <c r="F199" s="1666"/>
      <c r="O199" s="1595"/>
      <c r="Q199" s="1615"/>
      <c r="R199" s="1615"/>
      <c r="S199" s="1615"/>
      <c r="T199" s="1615"/>
      <c r="U199" s="1595"/>
      <c r="V199" s="1595"/>
    </row>
    <row r="200" spans="2:22" s="607" customFormat="1" ht="13.2">
      <c r="B200" s="493"/>
      <c r="F200" s="1666"/>
      <c r="O200" s="1595"/>
      <c r="Q200" s="1615"/>
      <c r="R200" s="1615"/>
      <c r="S200" s="1615"/>
      <c r="T200" s="1615"/>
      <c r="U200" s="1595"/>
      <c r="V200" s="1595"/>
    </row>
    <row r="201" spans="2:22" s="607" customFormat="1" ht="13.2">
      <c r="B201" s="493"/>
      <c r="F201" s="1666"/>
      <c r="O201" s="1595"/>
      <c r="Q201" s="1615"/>
      <c r="R201" s="1615"/>
      <c r="S201" s="1615"/>
      <c r="T201" s="1615"/>
      <c r="U201" s="1595"/>
      <c r="V201" s="1595"/>
    </row>
    <row r="202" spans="2:22" s="607" customFormat="1" ht="13.2">
      <c r="B202" s="493"/>
      <c r="F202" s="1666"/>
      <c r="O202" s="1595"/>
      <c r="Q202" s="1615"/>
      <c r="R202" s="1615"/>
      <c r="S202" s="1615"/>
      <c r="T202" s="1615"/>
      <c r="U202" s="1595"/>
      <c r="V202" s="1595"/>
    </row>
    <row r="203" spans="2:22" s="607" customFormat="1" ht="13.2">
      <c r="B203" s="493"/>
      <c r="F203" s="1666"/>
      <c r="O203" s="1595"/>
      <c r="Q203" s="1615"/>
      <c r="R203" s="1615"/>
      <c r="S203" s="1615"/>
      <c r="T203" s="1615"/>
      <c r="U203" s="1595"/>
      <c r="V203" s="1595"/>
    </row>
    <row r="204" spans="2:22" s="607" customFormat="1" ht="13.2">
      <c r="B204" s="493"/>
      <c r="F204" s="1666"/>
      <c r="O204" s="1595"/>
      <c r="Q204" s="1615"/>
      <c r="R204" s="1615"/>
      <c r="S204" s="1615"/>
      <c r="T204" s="1615"/>
      <c r="U204" s="1595"/>
      <c r="V204" s="1595"/>
    </row>
    <row r="205" spans="2:22" s="607" customFormat="1" ht="13.2">
      <c r="B205" s="493"/>
      <c r="F205" s="1666"/>
      <c r="O205" s="1595"/>
      <c r="Q205" s="1615"/>
      <c r="R205" s="1615"/>
      <c r="S205" s="1615"/>
      <c r="T205" s="1615"/>
      <c r="U205" s="1595"/>
      <c r="V205" s="1595"/>
    </row>
    <row r="206" spans="2:22" s="607" customFormat="1" ht="13.2">
      <c r="B206" s="493"/>
      <c r="F206" s="1666"/>
      <c r="O206" s="1595"/>
      <c r="Q206" s="1615"/>
      <c r="R206" s="1615"/>
      <c r="S206" s="1615"/>
      <c r="T206" s="1615"/>
      <c r="U206" s="1595"/>
      <c r="V206" s="1595"/>
    </row>
    <row r="207" spans="2:22" s="607" customFormat="1" ht="13.2">
      <c r="B207" s="493"/>
      <c r="F207" s="1666"/>
      <c r="O207" s="1595"/>
      <c r="Q207" s="1615"/>
      <c r="R207" s="1615"/>
      <c r="S207" s="1615"/>
      <c r="T207" s="1615"/>
      <c r="U207" s="1595"/>
      <c r="V207" s="1595"/>
    </row>
    <row r="208" spans="2:22" s="607" customFormat="1" ht="13.2">
      <c r="B208" s="493"/>
      <c r="F208" s="1666"/>
      <c r="O208" s="1595"/>
      <c r="Q208" s="1615"/>
      <c r="R208" s="1615"/>
      <c r="S208" s="1615"/>
      <c r="T208" s="1615"/>
      <c r="U208" s="1595"/>
      <c r="V208" s="1595"/>
    </row>
    <row r="209" spans="2:22" s="607" customFormat="1" ht="13.2">
      <c r="B209" s="493"/>
      <c r="F209" s="1666"/>
      <c r="O209" s="1595"/>
      <c r="Q209" s="1615"/>
      <c r="R209" s="1615"/>
      <c r="S209" s="1615"/>
      <c r="T209" s="1615"/>
      <c r="U209" s="1595"/>
      <c r="V209" s="1595"/>
    </row>
    <row r="210" spans="2:22" s="607" customFormat="1" ht="13.2">
      <c r="B210" s="493"/>
      <c r="F210" s="1666"/>
      <c r="O210" s="1595"/>
      <c r="Q210" s="1615"/>
      <c r="R210" s="1615"/>
      <c r="S210" s="1615"/>
      <c r="T210" s="1615"/>
      <c r="U210" s="1595"/>
      <c r="V210" s="1595"/>
    </row>
    <row r="211" spans="2:22" s="607" customFormat="1" ht="13.2">
      <c r="B211" s="493"/>
      <c r="F211" s="1666"/>
      <c r="O211" s="1595"/>
      <c r="Q211" s="1615"/>
      <c r="R211" s="1615"/>
      <c r="S211" s="1615"/>
      <c r="T211" s="1615"/>
      <c r="U211" s="1595"/>
      <c r="V211" s="1595"/>
    </row>
    <row r="212" spans="2:22" s="607" customFormat="1" ht="13.2">
      <c r="B212" s="493"/>
      <c r="F212" s="1666"/>
      <c r="O212" s="1595"/>
      <c r="Q212" s="1615"/>
      <c r="R212" s="1615"/>
      <c r="S212" s="1615"/>
      <c r="T212" s="1615"/>
      <c r="U212" s="1595"/>
      <c r="V212" s="1595"/>
    </row>
    <row r="213" spans="2:22" s="607" customFormat="1" ht="13.2">
      <c r="B213" s="493"/>
      <c r="F213" s="1666"/>
      <c r="O213" s="1595"/>
      <c r="Q213" s="1615"/>
      <c r="R213" s="1615"/>
      <c r="S213" s="1615"/>
      <c r="T213" s="1615"/>
      <c r="U213" s="1595"/>
      <c r="V213" s="1595"/>
    </row>
    <row r="214" spans="2:22" s="607" customFormat="1" ht="13.2">
      <c r="B214" s="493"/>
      <c r="F214" s="1666"/>
      <c r="O214" s="1595"/>
      <c r="Q214" s="1615"/>
      <c r="R214" s="1615"/>
      <c r="S214" s="1615"/>
      <c r="T214" s="1615"/>
      <c r="U214" s="1595"/>
      <c r="V214" s="1595"/>
    </row>
    <row r="215" spans="2:22" s="607" customFormat="1" ht="13.2">
      <c r="B215" s="493"/>
      <c r="F215" s="1666"/>
      <c r="O215" s="1595"/>
      <c r="Q215" s="1615"/>
      <c r="R215" s="1615"/>
      <c r="S215" s="1615"/>
      <c r="T215" s="1615"/>
      <c r="U215" s="1595"/>
      <c r="V215" s="1595"/>
    </row>
    <row r="216" spans="2:22" s="607" customFormat="1" ht="13.2">
      <c r="B216" s="493"/>
      <c r="F216" s="1666"/>
      <c r="O216" s="1595"/>
      <c r="Q216" s="1615"/>
      <c r="R216" s="1615"/>
      <c r="S216" s="1615"/>
      <c r="T216" s="1615"/>
      <c r="U216" s="1595"/>
      <c r="V216" s="1595"/>
    </row>
    <row r="217" spans="2:22" s="607" customFormat="1" ht="13.2">
      <c r="B217" s="493"/>
      <c r="F217" s="1666"/>
      <c r="O217" s="1595"/>
      <c r="Q217" s="1615"/>
      <c r="R217" s="1615"/>
      <c r="S217" s="1615"/>
      <c r="T217" s="1615"/>
      <c r="U217" s="1595"/>
      <c r="V217" s="1595"/>
    </row>
    <row r="218" spans="2:22" s="607" customFormat="1" ht="13.2">
      <c r="B218" s="493"/>
      <c r="F218" s="1666"/>
      <c r="O218" s="1595"/>
      <c r="Q218" s="1615"/>
      <c r="R218" s="1615"/>
      <c r="S218" s="1615"/>
      <c r="T218" s="1615"/>
      <c r="U218" s="1595"/>
      <c r="V218" s="1595"/>
    </row>
    <row r="219" spans="2:22" s="607" customFormat="1" ht="13.2">
      <c r="B219" s="493"/>
      <c r="F219" s="1666"/>
      <c r="O219" s="1595"/>
      <c r="Q219" s="1615"/>
      <c r="R219" s="1615"/>
      <c r="S219" s="1615"/>
      <c r="T219" s="1615"/>
      <c r="U219" s="1595"/>
      <c r="V219" s="1595"/>
    </row>
    <row r="220" spans="2:22" s="607" customFormat="1" ht="13.2">
      <c r="B220" s="493"/>
      <c r="F220" s="1666"/>
      <c r="O220" s="1595"/>
      <c r="Q220" s="1615"/>
      <c r="R220" s="1615"/>
      <c r="S220" s="1615"/>
      <c r="T220" s="1615"/>
      <c r="U220" s="1595"/>
      <c r="V220" s="1595"/>
    </row>
    <row r="221" spans="2:22" s="607" customFormat="1" ht="13.2">
      <c r="B221" s="493"/>
      <c r="F221" s="1666"/>
      <c r="O221" s="1595"/>
      <c r="Q221" s="1615"/>
      <c r="R221" s="1615"/>
      <c r="S221" s="1615"/>
      <c r="T221" s="1615"/>
      <c r="U221" s="1595"/>
      <c r="V221" s="1595"/>
    </row>
    <row r="222" spans="2:22" s="607" customFormat="1" ht="13.2">
      <c r="B222" s="493"/>
      <c r="F222" s="1666"/>
      <c r="O222" s="1595"/>
      <c r="Q222" s="1615"/>
      <c r="R222" s="1615"/>
      <c r="S222" s="1615"/>
      <c r="T222" s="1615"/>
      <c r="U222" s="1595"/>
      <c r="V222" s="1595"/>
    </row>
    <row r="223" spans="2:22" s="607" customFormat="1" ht="13.2">
      <c r="B223" s="493"/>
      <c r="F223" s="1666"/>
      <c r="O223" s="1595"/>
      <c r="Q223" s="1615"/>
      <c r="R223" s="1615"/>
      <c r="S223" s="1615"/>
      <c r="T223" s="1615"/>
      <c r="U223" s="1595"/>
      <c r="V223" s="1595"/>
    </row>
    <row r="224" spans="2:22" s="607" customFormat="1" ht="13.2">
      <c r="B224" s="493"/>
      <c r="F224" s="1666"/>
      <c r="O224" s="1595"/>
      <c r="Q224" s="1615"/>
      <c r="R224" s="1615"/>
      <c r="S224" s="1615"/>
      <c r="T224" s="1615"/>
      <c r="U224" s="1595"/>
      <c r="V224" s="1595"/>
    </row>
    <row r="225" spans="2:22" s="607" customFormat="1" ht="13.2">
      <c r="B225" s="493"/>
      <c r="F225" s="1666"/>
      <c r="O225" s="1595"/>
      <c r="Q225" s="1615"/>
      <c r="R225" s="1615"/>
      <c r="S225" s="1615"/>
      <c r="T225" s="1615"/>
      <c r="U225" s="1595"/>
      <c r="V225" s="1595"/>
    </row>
    <row r="226" spans="2:22" s="607" customFormat="1" ht="13.2">
      <c r="B226" s="493"/>
      <c r="F226" s="1666"/>
      <c r="O226" s="1595"/>
      <c r="Q226" s="1615"/>
      <c r="R226" s="1615"/>
      <c r="S226" s="1615"/>
      <c r="T226" s="1615"/>
      <c r="U226" s="1595"/>
      <c r="V226" s="1595"/>
    </row>
    <row r="227" spans="2:22" s="607" customFormat="1" ht="13.2">
      <c r="B227" s="493"/>
      <c r="F227" s="1666"/>
      <c r="O227" s="1595"/>
      <c r="Q227" s="1615"/>
      <c r="R227" s="1615"/>
      <c r="S227" s="1615"/>
      <c r="T227" s="1615"/>
      <c r="U227" s="1595"/>
      <c r="V227" s="1595"/>
    </row>
    <row r="228" spans="2:22" s="607" customFormat="1" ht="13.2">
      <c r="B228" s="493"/>
      <c r="F228" s="1666"/>
      <c r="O228" s="1595"/>
      <c r="Q228" s="1615"/>
      <c r="R228" s="1615"/>
      <c r="S228" s="1615"/>
      <c r="T228" s="1615"/>
      <c r="U228" s="1595"/>
      <c r="V228" s="1595"/>
    </row>
    <row r="229" spans="2:22" s="607" customFormat="1" ht="13.2">
      <c r="B229" s="493"/>
      <c r="F229" s="1666"/>
      <c r="O229" s="1595"/>
      <c r="Q229" s="1615"/>
      <c r="R229" s="1615"/>
      <c r="S229" s="1615"/>
      <c r="T229" s="1615"/>
      <c r="U229" s="1595"/>
      <c r="V229" s="1595"/>
    </row>
    <row r="230" spans="2:22" s="607" customFormat="1" ht="13.2">
      <c r="B230" s="493"/>
      <c r="F230" s="1666"/>
      <c r="O230" s="1595"/>
      <c r="Q230" s="1615"/>
      <c r="R230" s="1615"/>
      <c r="S230" s="1615"/>
      <c r="T230" s="1615"/>
      <c r="U230" s="1595"/>
      <c r="V230" s="1595"/>
    </row>
    <row r="231" spans="2:22" s="607" customFormat="1" ht="13.2">
      <c r="B231" s="493"/>
      <c r="F231" s="1666"/>
      <c r="O231" s="1595"/>
      <c r="Q231" s="1615"/>
      <c r="R231" s="1615"/>
      <c r="S231" s="1615"/>
      <c r="T231" s="1615"/>
      <c r="U231" s="1595"/>
      <c r="V231" s="1595"/>
    </row>
    <row r="232" spans="2:22" s="607" customFormat="1" ht="13.2">
      <c r="B232" s="493"/>
      <c r="F232" s="1666"/>
      <c r="O232" s="1595"/>
      <c r="Q232" s="1615"/>
      <c r="R232" s="1615"/>
      <c r="S232" s="1615"/>
      <c r="T232" s="1615"/>
      <c r="U232" s="1595"/>
      <c r="V232" s="1595"/>
    </row>
    <row r="233" spans="2:22" s="607" customFormat="1" ht="13.2">
      <c r="B233" s="493"/>
      <c r="F233" s="1666"/>
      <c r="O233" s="1595"/>
      <c r="Q233" s="1615"/>
      <c r="R233" s="1615"/>
      <c r="S233" s="1615"/>
      <c r="T233" s="1615"/>
      <c r="U233" s="1595"/>
      <c r="V233" s="1595"/>
    </row>
    <row r="234" spans="2:22" s="607" customFormat="1" ht="13.2">
      <c r="B234" s="493"/>
      <c r="F234" s="1666"/>
      <c r="O234" s="1595"/>
      <c r="Q234" s="1615"/>
      <c r="R234" s="1615"/>
      <c r="S234" s="1615"/>
      <c r="T234" s="1615"/>
      <c r="U234" s="1595"/>
      <c r="V234" s="1595"/>
    </row>
    <row r="235" spans="2:22" s="607" customFormat="1" ht="13.2">
      <c r="B235" s="493"/>
      <c r="F235" s="1666"/>
      <c r="O235" s="1595"/>
      <c r="Q235" s="1615"/>
      <c r="R235" s="1615"/>
      <c r="S235" s="1615"/>
      <c r="T235" s="1615"/>
      <c r="U235" s="1595"/>
      <c r="V235" s="1595"/>
    </row>
    <row r="236" spans="2:22" s="607" customFormat="1" ht="13.2">
      <c r="B236" s="493"/>
      <c r="F236" s="1666"/>
      <c r="O236" s="1595"/>
      <c r="Q236" s="1615"/>
      <c r="R236" s="1615"/>
      <c r="S236" s="1615"/>
      <c r="T236" s="1615"/>
      <c r="U236" s="1595"/>
      <c r="V236" s="1595"/>
    </row>
    <row r="237" spans="2:22" s="607" customFormat="1" ht="13.2">
      <c r="B237" s="493"/>
      <c r="F237" s="1666"/>
      <c r="O237" s="1595"/>
      <c r="Q237" s="1615"/>
      <c r="R237" s="1615"/>
      <c r="S237" s="1615"/>
      <c r="T237" s="1615"/>
      <c r="U237" s="1595"/>
      <c r="V237" s="1595"/>
    </row>
    <row r="238" spans="2:22" s="607" customFormat="1" ht="13.2">
      <c r="B238" s="493"/>
      <c r="F238" s="1666"/>
      <c r="O238" s="1595"/>
      <c r="Q238" s="1615"/>
      <c r="R238" s="1615"/>
      <c r="S238" s="1615"/>
      <c r="T238" s="1615"/>
      <c r="U238" s="1595"/>
      <c r="V238" s="1595"/>
    </row>
    <row r="239" spans="2:22" s="607" customFormat="1" ht="13.2">
      <c r="B239" s="493"/>
      <c r="F239" s="1666"/>
      <c r="O239" s="1595"/>
      <c r="Q239" s="1615"/>
      <c r="R239" s="1615"/>
      <c r="S239" s="1615"/>
      <c r="T239" s="1615"/>
      <c r="U239" s="1595"/>
      <c r="V239" s="1595"/>
    </row>
    <row r="240" spans="2:22" s="607" customFormat="1" ht="13.2">
      <c r="B240" s="493"/>
      <c r="F240" s="1666"/>
      <c r="O240" s="1595"/>
      <c r="Q240" s="1615"/>
      <c r="R240" s="1595"/>
      <c r="S240" s="1615"/>
      <c r="T240" s="1615"/>
      <c r="U240" s="1595"/>
      <c r="V240" s="1595"/>
    </row>
    <row r="241" spans="2:22" s="607" customFormat="1" ht="13.2">
      <c r="B241" s="493"/>
      <c r="F241" s="1666"/>
      <c r="O241" s="1595"/>
      <c r="Q241" s="1615"/>
      <c r="R241" s="1595"/>
      <c r="S241" s="1595"/>
      <c r="T241" s="1595"/>
      <c r="U241" s="1595"/>
      <c r="V241" s="1595"/>
    </row>
    <row r="242" spans="2:22" s="607" customFormat="1" ht="13.2">
      <c r="B242" s="493"/>
      <c r="F242" s="1666"/>
      <c r="O242" s="1595"/>
      <c r="Q242" s="1615"/>
      <c r="R242" s="1595"/>
      <c r="S242" s="1595"/>
      <c r="T242" s="1595"/>
      <c r="U242" s="1595"/>
      <c r="V242" s="1595"/>
    </row>
    <row r="243" spans="2:22" s="607" customFormat="1" ht="13.2">
      <c r="B243" s="493"/>
      <c r="F243" s="1666"/>
      <c r="O243" s="1595"/>
      <c r="Q243" s="1615"/>
      <c r="R243" s="1595"/>
      <c r="S243" s="1595"/>
      <c r="T243" s="1595"/>
      <c r="U243" s="1595"/>
      <c r="V243" s="1595"/>
    </row>
    <row r="244" spans="2:22" s="607" customFormat="1" ht="13.2">
      <c r="B244" s="493"/>
      <c r="F244" s="1666"/>
      <c r="O244" s="1595"/>
      <c r="Q244" s="1615"/>
      <c r="R244" s="1595"/>
      <c r="S244" s="1595"/>
      <c r="T244" s="1595"/>
      <c r="U244" s="1595"/>
      <c r="V244" s="1595"/>
    </row>
    <row r="245" spans="2:22" s="607" customFormat="1" ht="13.2">
      <c r="B245" s="493"/>
      <c r="F245" s="1666"/>
      <c r="O245" s="1595"/>
      <c r="Q245" s="1615"/>
      <c r="R245" s="1595"/>
      <c r="S245" s="1595"/>
      <c r="T245" s="1595"/>
      <c r="U245" s="1595"/>
      <c r="V245" s="1595"/>
    </row>
    <row r="246" spans="2:22" s="607" customFormat="1" ht="13.2">
      <c r="B246" s="493"/>
      <c r="F246" s="1666"/>
      <c r="O246" s="1595"/>
      <c r="P246" s="1654"/>
      <c r="Q246" s="1615"/>
      <c r="R246" s="1595"/>
      <c r="S246" s="1595"/>
      <c r="T246" s="1595"/>
      <c r="U246" s="1595"/>
      <c r="V246" s="1595"/>
    </row>
    <row r="247" spans="2:22" s="607" customFormat="1" ht="13.2">
      <c r="B247" s="493"/>
      <c r="F247" s="1666"/>
      <c r="O247" s="1595"/>
      <c r="Q247" s="1595"/>
      <c r="R247" s="1595"/>
      <c r="S247" s="1595"/>
      <c r="T247" s="1595"/>
      <c r="U247" s="1595"/>
      <c r="V247" s="1595"/>
    </row>
    <row r="248" spans="2:22" s="607" customFormat="1" ht="13.2">
      <c r="B248" s="493"/>
      <c r="F248" s="1666"/>
      <c r="O248" s="1595"/>
      <c r="Q248" s="1595"/>
      <c r="R248" s="1595"/>
      <c r="S248" s="1595"/>
      <c r="T248" s="1595"/>
      <c r="U248" s="1595"/>
      <c r="V248" s="1595"/>
    </row>
    <row r="249" spans="2:22" s="607" customFormat="1" ht="13.2">
      <c r="B249" s="493"/>
      <c r="F249" s="1666"/>
      <c r="O249" s="1595"/>
      <c r="Q249" s="1595"/>
      <c r="R249" s="1595"/>
      <c r="S249" s="1595"/>
      <c r="T249" s="1595"/>
      <c r="U249" s="1595"/>
      <c r="V249" s="1595"/>
    </row>
    <row r="250" spans="2:22" s="607" customFormat="1" ht="13.2">
      <c r="B250" s="493"/>
      <c r="F250" s="1666"/>
      <c r="O250" s="1595"/>
      <c r="Q250" s="1595"/>
      <c r="R250" s="1595"/>
      <c r="S250" s="1595"/>
      <c r="T250" s="1595"/>
      <c r="U250" s="1595"/>
      <c r="V250" s="1595"/>
    </row>
    <row r="251" spans="2:22" s="607" customFormat="1" ht="13.2">
      <c r="B251" s="493"/>
      <c r="F251" s="1666"/>
      <c r="O251" s="1595"/>
      <c r="Q251" s="1595"/>
      <c r="R251" s="1595"/>
      <c r="S251" s="1595"/>
      <c r="T251" s="1595"/>
      <c r="U251" s="1595"/>
      <c r="V251" s="1595"/>
    </row>
    <row r="252" spans="2:22" s="607" customFormat="1" ht="13.2">
      <c r="B252" s="493"/>
      <c r="F252" s="1666"/>
      <c r="O252" s="1595"/>
      <c r="Q252" s="1595"/>
      <c r="R252" s="1595"/>
      <c r="S252" s="1595"/>
      <c r="T252" s="1595"/>
      <c r="U252" s="1595"/>
      <c r="V252" s="1595"/>
    </row>
    <row r="253" spans="2:22" s="607" customFormat="1" ht="13.2">
      <c r="B253" s="493"/>
      <c r="F253" s="1666"/>
      <c r="O253" s="1595"/>
      <c r="Q253" s="1595"/>
      <c r="R253" s="1595"/>
      <c r="S253" s="1595"/>
      <c r="T253" s="1595"/>
      <c r="U253" s="1595"/>
      <c r="V253" s="1595"/>
    </row>
    <row r="254" spans="2:22" s="607" customFormat="1" ht="13.2">
      <c r="B254" s="493"/>
      <c r="F254" s="1666"/>
      <c r="O254" s="1595"/>
      <c r="Q254" s="1595"/>
      <c r="R254" s="1595"/>
      <c r="S254" s="1595"/>
      <c r="T254" s="1595"/>
      <c r="U254" s="1595"/>
      <c r="V254" s="1595"/>
    </row>
    <row r="255" spans="2:22" s="607" customFormat="1" ht="13.2">
      <c r="B255" s="493"/>
      <c r="F255" s="1666"/>
      <c r="O255" s="1595"/>
      <c r="Q255" s="1595"/>
      <c r="R255" s="1595"/>
      <c r="S255" s="1595"/>
      <c r="T255" s="1595"/>
      <c r="U255" s="1595"/>
      <c r="V255" s="1595"/>
    </row>
    <row r="256" spans="2:22" s="607" customFormat="1" ht="13.2">
      <c r="B256" s="493"/>
      <c r="F256" s="1666"/>
      <c r="O256" s="1595"/>
      <c r="Q256" s="1595"/>
      <c r="R256" s="1595"/>
      <c r="S256" s="1595"/>
      <c r="T256" s="1595"/>
      <c r="U256" s="1595"/>
      <c r="V256" s="1595"/>
    </row>
    <row r="257" spans="2:22" s="607" customFormat="1" ht="13.2">
      <c r="B257" s="493"/>
      <c r="F257" s="1666"/>
      <c r="O257" s="1595"/>
      <c r="Q257" s="1595"/>
      <c r="R257" s="1595"/>
      <c r="S257" s="1595"/>
      <c r="T257" s="1595"/>
      <c r="U257" s="1595"/>
      <c r="V257" s="1595"/>
    </row>
    <row r="258" spans="2:22" s="607" customFormat="1" ht="13.2">
      <c r="B258" s="493"/>
      <c r="F258" s="1666"/>
      <c r="O258" s="1595"/>
      <c r="Q258" s="1595"/>
      <c r="R258" s="1595"/>
      <c r="S258" s="1595"/>
      <c r="T258" s="1595"/>
      <c r="U258" s="1595"/>
      <c r="V258" s="1595"/>
    </row>
    <row r="259" spans="2:22" s="607" customFormat="1" ht="13.2">
      <c r="B259" s="493"/>
      <c r="F259" s="1666"/>
      <c r="O259" s="1595"/>
      <c r="Q259" s="1595"/>
      <c r="R259" s="1595"/>
      <c r="S259" s="1595"/>
      <c r="T259" s="1595"/>
      <c r="U259" s="1595"/>
      <c r="V259" s="1595"/>
    </row>
    <row r="260" spans="2:22" s="607" customFormat="1" ht="13.2">
      <c r="B260" s="493"/>
      <c r="F260" s="1666"/>
      <c r="O260" s="1595"/>
      <c r="Q260" s="1595"/>
      <c r="R260" s="1595"/>
      <c r="S260" s="1595"/>
      <c r="T260" s="1595"/>
      <c r="U260" s="1595"/>
      <c r="V260" s="1595"/>
    </row>
    <row r="261" spans="2:22" s="607" customFormat="1" ht="13.2">
      <c r="B261" s="493"/>
      <c r="F261" s="1666"/>
      <c r="O261" s="1595"/>
      <c r="Q261" s="1595"/>
      <c r="R261" s="1595"/>
      <c r="S261" s="1595"/>
      <c r="T261" s="1595"/>
      <c r="U261" s="1595"/>
      <c r="V261" s="1595"/>
    </row>
    <row r="262" spans="2:22" s="607" customFormat="1" ht="13.2">
      <c r="B262" s="493"/>
      <c r="F262" s="1666"/>
      <c r="O262" s="1595"/>
      <c r="Q262" s="1595"/>
      <c r="R262" s="1595"/>
      <c r="S262" s="1595"/>
      <c r="T262" s="1595"/>
      <c r="U262" s="1595"/>
      <c r="V262" s="1595"/>
    </row>
    <row r="263" spans="2:22" s="607" customFormat="1" ht="13.2">
      <c r="B263" s="493"/>
      <c r="F263" s="1666"/>
      <c r="O263" s="1595"/>
      <c r="Q263" s="1595"/>
      <c r="R263" s="1595"/>
      <c r="S263" s="1595"/>
      <c r="T263" s="1595"/>
      <c r="U263" s="1595"/>
      <c r="V263" s="1595"/>
    </row>
    <row r="264" spans="2:22" s="607" customFormat="1" ht="13.2">
      <c r="B264" s="493"/>
      <c r="F264" s="1666"/>
      <c r="O264" s="1595"/>
      <c r="Q264" s="1595"/>
      <c r="R264" s="1595"/>
      <c r="S264" s="1595"/>
      <c r="T264" s="1595"/>
      <c r="U264" s="1595"/>
      <c r="V264" s="1595"/>
    </row>
    <row r="265" spans="2:22" s="607" customFormat="1" ht="13.2">
      <c r="B265" s="493"/>
      <c r="F265" s="1666"/>
      <c r="O265" s="1595"/>
      <c r="Q265" s="1595"/>
      <c r="R265" s="1595"/>
      <c r="S265" s="1595"/>
      <c r="T265" s="1595"/>
      <c r="U265" s="1595"/>
      <c r="V265" s="1595"/>
    </row>
    <row r="266" spans="2:22" s="607" customFormat="1" ht="13.2">
      <c r="B266" s="493"/>
      <c r="F266" s="1666"/>
      <c r="O266" s="1595"/>
      <c r="Q266" s="1595"/>
      <c r="R266" s="1595"/>
      <c r="S266" s="1595"/>
      <c r="T266" s="1595"/>
      <c r="U266" s="1595"/>
      <c r="V266" s="1595"/>
    </row>
    <row r="267" spans="2:22" s="607" customFormat="1" ht="13.2">
      <c r="B267" s="493"/>
      <c r="F267" s="1666"/>
      <c r="O267" s="1595"/>
      <c r="Q267" s="1595"/>
      <c r="R267" s="1595"/>
      <c r="S267" s="1595"/>
      <c r="T267" s="1595"/>
      <c r="U267" s="1595"/>
      <c r="V267" s="1595"/>
    </row>
    <row r="268" spans="2:22" s="607" customFormat="1" ht="13.2">
      <c r="B268" s="493"/>
      <c r="F268" s="1666"/>
      <c r="O268" s="1595"/>
      <c r="Q268" s="1595"/>
      <c r="R268" s="1595"/>
      <c r="S268" s="1595"/>
      <c r="T268" s="1595"/>
      <c r="U268" s="1595"/>
      <c r="V268" s="1595"/>
    </row>
    <row r="269" spans="2:22" s="607" customFormat="1" ht="13.2">
      <c r="B269" s="493"/>
      <c r="F269" s="1666"/>
      <c r="O269" s="1595"/>
      <c r="Q269" s="1595"/>
      <c r="R269" s="1595"/>
      <c r="S269" s="1595"/>
      <c r="T269" s="1595"/>
      <c r="U269" s="1595"/>
      <c r="V269" s="1595"/>
    </row>
    <row r="270" spans="2:22" s="607" customFormat="1" ht="13.2">
      <c r="B270" s="493"/>
      <c r="F270" s="1666"/>
      <c r="O270" s="1595"/>
      <c r="Q270" s="1595"/>
      <c r="R270" s="1595"/>
      <c r="S270" s="1595"/>
      <c r="T270" s="1595"/>
      <c r="U270" s="1595"/>
      <c r="V270" s="1595"/>
    </row>
    <row r="271" spans="2:22" s="607" customFormat="1" ht="13.2">
      <c r="B271" s="493"/>
      <c r="F271" s="1666"/>
      <c r="O271" s="1595"/>
      <c r="Q271" s="1595"/>
      <c r="R271" s="1595"/>
      <c r="S271" s="1595"/>
      <c r="T271" s="1595"/>
      <c r="U271" s="1595"/>
      <c r="V271" s="1595"/>
    </row>
    <row r="272" spans="2:22" s="607" customFormat="1" ht="13.2">
      <c r="B272" s="493"/>
      <c r="F272" s="1666"/>
      <c r="O272" s="1595"/>
      <c r="Q272" s="1595"/>
      <c r="R272" s="1595"/>
      <c r="S272" s="1595"/>
      <c r="T272" s="1595"/>
      <c r="U272" s="1595"/>
      <c r="V272" s="1595"/>
    </row>
    <row r="273" spans="2:22" s="607" customFormat="1" ht="13.2">
      <c r="B273" s="493"/>
      <c r="F273" s="1666"/>
      <c r="O273" s="1595"/>
      <c r="Q273" s="1595"/>
      <c r="R273" s="1595"/>
      <c r="S273" s="1595"/>
      <c r="T273" s="1595"/>
      <c r="U273" s="1595"/>
      <c r="V273" s="1595"/>
    </row>
    <row r="274" spans="2:22" s="607" customFormat="1" ht="13.2">
      <c r="B274" s="493"/>
      <c r="F274" s="1666"/>
      <c r="O274" s="1595"/>
      <c r="Q274" s="1595"/>
      <c r="R274" s="1595"/>
      <c r="S274" s="1595"/>
      <c r="T274" s="1595"/>
      <c r="U274" s="1595"/>
      <c r="V274" s="1595"/>
    </row>
    <row r="275" spans="2:22" s="607" customFormat="1" ht="13.2">
      <c r="B275" s="493"/>
      <c r="F275" s="1666"/>
      <c r="O275" s="1595"/>
      <c r="Q275" s="1595"/>
      <c r="R275" s="1595"/>
      <c r="S275" s="1595"/>
      <c r="T275" s="1595"/>
      <c r="U275" s="1595"/>
      <c r="V275" s="1595"/>
    </row>
    <row r="276" spans="2:22" s="607" customFormat="1" ht="13.2">
      <c r="B276" s="493"/>
      <c r="F276" s="1666"/>
      <c r="O276" s="1595"/>
      <c r="Q276" s="1595"/>
      <c r="R276" s="1595"/>
      <c r="S276" s="1595"/>
      <c r="T276" s="1595"/>
      <c r="U276" s="1595"/>
      <c r="V276" s="1595"/>
    </row>
    <row r="277" spans="2:22" s="607" customFormat="1" ht="13.2">
      <c r="B277" s="493"/>
      <c r="F277" s="1666"/>
      <c r="O277" s="1595"/>
      <c r="Q277" s="1595"/>
      <c r="R277" s="1595"/>
      <c r="S277" s="1595"/>
      <c r="T277" s="1595"/>
      <c r="U277" s="1595"/>
      <c r="V277" s="1595"/>
    </row>
    <row r="278" spans="2:22" s="607" customFormat="1" ht="13.2">
      <c r="B278" s="493"/>
      <c r="F278" s="1666"/>
      <c r="O278" s="1595"/>
      <c r="Q278" s="1595"/>
      <c r="R278" s="1595"/>
      <c r="S278" s="1595"/>
      <c r="T278" s="1595"/>
      <c r="U278" s="1595"/>
      <c r="V278" s="1595"/>
    </row>
    <row r="279" spans="2:22" s="607" customFormat="1" ht="13.2">
      <c r="B279" s="493"/>
      <c r="F279" s="1666"/>
      <c r="O279" s="1595"/>
      <c r="Q279" s="1595"/>
      <c r="R279" s="1595"/>
      <c r="S279" s="1595"/>
      <c r="T279" s="1595"/>
      <c r="U279" s="1595"/>
      <c r="V279" s="1595"/>
    </row>
    <row r="280" spans="2:22" s="607" customFormat="1" ht="13.2">
      <c r="B280" s="493"/>
      <c r="F280" s="1666"/>
      <c r="O280" s="1595"/>
      <c r="Q280" s="1595"/>
      <c r="R280" s="1595"/>
      <c r="S280" s="1595"/>
      <c r="T280" s="1595"/>
      <c r="U280" s="1595"/>
      <c r="V280" s="1595"/>
    </row>
    <row r="281" spans="2:22" s="607" customFormat="1" ht="13.2">
      <c r="B281" s="493"/>
      <c r="F281" s="1666"/>
      <c r="O281" s="1595"/>
      <c r="Q281" s="1595"/>
      <c r="R281" s="1595"/>
      <c r="S281" s="1595"/>
      <c r="T281" s="1595"/>
      <c r="U281" s="1595"/>
      <c r="V281" s="1595"/>
    </row>
    <row r="282" spans="2:22" s="607" customFormat="1" ht="13.2">
      <c r="B282" s="493"/>
      <c r="F282" s="1666"/>
      <c r="O282" s="1595"/>
      <c r="Q282" s="1595"/>
      <c r="R282" s="1595"/>
      <c r="S282" s="1595"/>
      <c r="T282" s="1595"/>
      <c r="U282" s="1595"/>
      <c r="V282" s="1595"/>
    </row>
    <row r="283" spans="2:22" s="607" customFormat="1" ht="13.2">
      <c r="B283" s="493"/>
      <c r="F283" s="1666"/>
      <c r="O283" s="1595"/>
      <c r="Q283" s="1595"/>
      <c r="R283" s="1595"/>
      <c r="S283" s="1595"/>
      <c r="T283" s="1595"/>
      <c r="U283" s="1595"/>
      <c r="V283" s="1595"/>
    </row>
    <row r="284" spans="2:22" s="607" customFormat="1" ht="13.2">
      <c r="B284" s="493"/>
      <c r="F284" s="1666"/>
      <c r="O284" s="1595"/>
      <c r="Q284" s="1595"/>
      <c r="R284" s="1595"/>
      <c r="S284" s="1595"/>
      <c r="T284" s="1595"/>
      <c r="U284" s="1595"/>
      <c r="V284" s="1595"/>
    </row>
    <row r="285" spans="2:22" s="607" customFormat="1" ht="13.2">
      <c r="B285" s="493"/>
      <c r="F285" s="1666"/>
      <c r="O285" s="1595"/>
      <c r="Q285" s="1595"/>
      <c r="R285" s="1595"/>
      <c r="S285" s="1595"/>
      <c r="T285" s="1595"/>
      <c r="U285" s="1595"/>
      <c r="V285" s="1595"/>
    </row>
    <row r="286" spans="2:22" s="607" customFormat="1" ht="13.2">
      <c r="B286" s="493"/>
      <c r="F286" s="1666"/>
      <c r="O286" s="1595"/>
      <c r="Q286" s="1595"/>
      <c r="R286" s="1595"/>
      <c r="S286" s="1595"/>
      <c r="T286" s="1595"/>
      <c r="U286" s="1595"/>
      <c r="V286" s="1595"/>
    </row>
    <row r="287" spans="2:22" s="607" customFormat="1" ht="13.2">
      <c r="B287" s="493"/>
      <c r="F287" s="1666"/>
      <c r="O287" s="1595"/>
      <c r="Q287" s="1595"/>
      <c r="R287" s="1595"/>
      <c r="S287" s="1595"/>
      <c r="T287" s="1595"/>
      <c r="U287" s="1595"/>
      <c r="V287" s="1595"/>
    </row>
    <row r="288" spans="2:22" s="607" customFormat="1" ht="13.2">
      <c r="B288" s="493"/>
      <c r="F288" s="1666"/>
      <c r="O288" s="1595"/>
      <c r="Q288" s="1595"/>
      <c r="R288" s="1595"/>
      <c r="S288" s="1595"/>
      <c r="T288" s="1595"/>
      <c r="U288" s="1595"/>
      <c r="V288" s="1595"/>
    </row>
    <row r="289" spans="2:22" s="607" customFormat="1" ht="13.2">
      <c r="B289" s="493"/>
      <c r="F289" s="1666"/>
      <c r="O289" s="1595"/>
      <c r="Q289" s="1595"/>
      <c r="R289" s="1595"/>
      <c r="S289" s="1595"/>
      <c r="T289" s="1595"/>
      <c r="U289" s="1595"/>
      <c r="V289" s="1595"/>
    </row>
    <row r="290" spans="2:22" s="607" customFormat="1" ht="13.2">
      <c r="B290" s="493"/>
      <c r="F290" s="1666"/>
      <c r="O290" s="1595"/>
      <c r="Q290" s="1595"/>
      <c r="R290" s="1595"/>
      <c r="S290" s="1595"/>
      <c r="T290" s="1595"/>
      <c r="U290" s="1595"/>
      <c r="V290" s="1595"/>
    </row>
    <row r="291" spans="2:22" s="607" customFormat="1" ht="13.2">
      <c r="B291" s="493"/>
      <c r="F291" s="1666"/>
      <c r="O291" s="1595"/>
      <c r="Q291" s="1595"/>
      <c r="R291" s="1595"/>
      <c r="S291" s="1595"/>
      <c r="T291" s="1595"/>
      <c r="U291" s="1595"/>
      <c r="V291" s="1595"/>
    </row>
    <row r="292" spans="2:22" s="607" customFormat="1" ht="13.2">
      <c r="B292" s="493"/>
      <c r="F292" s="1666"/>
      <c r="O292" s="1595"/>
      <c r="Q292" s="1595"/>
      <c r="R292" s="1595"/>
      <c r="S292" s="1595"/>
      <c r="T292" s="1595"/>
      <c r="U292" s="1595"/>
      <c r="V292" s="1595"/>
    </row>
    <row r="293" spans="2:22" s="607" customFormat="1" ht="13.2">
      <c r="B293" s="493"/>
      <c r="F293" s="1666"/>
      <c r="O293" s="1595"/>
      <c r="Q293" s="1595"/>
      <c r="R293" s="1595"/>
      <c r="S293" s="1595"/>
      <c r="T293" s="1595"/>
      <c r="U293" s="1595"/>
      <c r="V293" s="1595"/>
    </row>
    <row r="294" spans="2:22" s="607" customFormat="1" ht="13.2">
      <c r="B294" s="493"/>
      <c r="F294" s="1666"/>
      <c r="O294" s="1595"/>
      <c r="Q294" s="1595"/>
      <c r="R294" s="1595"/>
      <c r="S294" s="1595"/>
      <c r="T294" s="1595"/>
      <c r="U294" s="1595"/>
      <c r="V294" s="1595"/>
    </row>
    <row r="295" spans="2:22" s="607" customFormat="1" ht="13.2">
      <c r="B295" s="493"/>
      <c r="F295" s="1666"/>
      <c r="O295" s="1595"/>
      <c r="Q295" s="1595"/>
      <c r="R295" s="1595"/>
      <c r="S295" s="1595"/>
      <c r="T295" s="1595"/>
      <c r="U295" s="1595"/>
      <c r="V295" s="1595"/>
    </row>
    <row r="296" spans="2:22" s="607" customFormat="1" ht="13.2">
      <c r="B296" s="493"/>
      <c r="F296" s="1666"/>
      <c r="O296" s="1595"/>
      <c r="Q296" s="1595"/>
      <c r="R296" s="1595"/>
      <c r="S296" s="1595"/>
      <c r="T296" s="1595"/>
      <c r="U296" s="1595"/>
      <c r="V296" s="1595"/>
    </row>
    <row r="297" spans="2:22" s="607" customFormat="1" ht="13.2">
      <c r="B297" s="493"/>
      <c r="F297" s="1666"/>
      <c r="O297" s="1595"/>
      <c r="Q297" s="1595"/>
      <c r="R297" s="1595"/>
      <c r="S297" s="1595"/>
      <c r="T297" s="1595"/>
      <c r="U297" s="1595"/>
      <c r="V297" s="1595"/>
    </row>
    <row r="298" spans="2:22" s="607" customFormat="1" ht="13.2">
      <c r="B298" s="493"/>
      <c r="F298" s="1666"/>
      <c r="O298" s="1595"/>
      <c r="Q298" s="1595"/>
      <c r="R298" s="1595"/>
      <c r="S298" s="1595"/>
      <c r="T298" s="1595"/>
      <c r="U298" s="1595"/>
      <c r="V298" s="1595"/>
    </row>
    <row r="299" spans="2:22" s="607" customFormat="1" ht="13.2">
      <c r="B299" s="493"/>
      <c r="F299" s="1666"/>
      <c r="O299" s="1595"/>
      <c r="Q299" s="1595"/>
      <c r="R299" s="1595"/>
      <c r="S299" s="1595"/>
      <c r="T299" s="1595"/>
      <c r="U299" s="1595"/>
      <c r="V299" s="1595"/>
    </row>
    <row r="300" spans="2:22" s="607" customFormat="1" ht="13.2">
      <c r="B300" s="493"/>
      <c r="F300" s="1666"/>
      <c r="O300" s="1595"/>
      <c r="Q300" s="1595"/>
      <c r="R300" s="1595"/>
      <c r="S300" s="1595"/>
      <c r="T300" s="1595"/>
      <c r="U300" s="1595"/>
      <c r="V300" s="1595"/>
    </row>
    <row r="301" spans="2:22" s="607" customFormat="1" ht="13.2">
      <c r="B301" s="493"/>
      <c r="F301" s="1666"/>
      <c r="O301" s="1595"/>
      <c r="Q301" s="1595"/>
      <c r="R301" s="1595"/>
      <c r="S301" s="1595"/>
      <c r="T301" s="1595"/>
      <c r="U301" s="1595"/>
      <c r="V301" s="1595"/>
    </row>
    <row r="302" spans="2:22" s="607" customFormat="1" ht="13.2">
      <c r="B302" s="493"/>
      <c r="F302" s="1666"/>
      <c r="O302" s="1595"/>
      <c r="Q302" s="1654"/>
      <c r="R302" s="1654"/>
      <c r="S302" s="1654"/>
      <c r="T302" s="1654"/>
      <c r="U302" s="1595"/>
      <c r="V302" s="1595"/>
    </row>
    <row r="303" spans="2:22" s="607" customFormat="1" ht="13.2">
      <c r="B303" s="493"/>
      <c r="F303" s="1666"/>
      <c r="O303" s="1595"/>
      <c r="Q303" s="1595"/>
      <c r="R303" s="1595"/>
      <c r="S303" s="1595"/>
      <c r="T303" s="1595"/>
      <c r="U303" s="1595"/>
      <c r="V303" s="1595"/>
    </row>
    <row r="304" spans="2:22" s="607" customFormat="1" ht="13.2">
      <c r="B304" s="493"/>
      <c r="F304" s="1666"/>
      <c r="O304" s="1595"/>
      <c r="Q304" s="1595"/>
      <c r="R304" s="1595"/>
      <c r="S304" s="1595"/>
      <c r="T304" s="1595"/>
      <c r="U304" s="1595"/>
      <c r="V304" s="1595"/>
    </row>
    <row r="305" spans="2:22" s="607" customFormat="1" ht="13.2">
      <c r="B305" s="493"/>
      <c r="F305" s="1666"/>
      <c r="O305" s="1595"/>
      <c r="Q305" s="1595"/>
      <c r="R305" s="1595"/>
      <c r="S305" s="1595"/>
      <c r="T305" s="1595"/>
      <c r="U305" s="1595"/>
      <c r="V305" s="1595"/>
    </row>
    <row r="306" spans="2:22" s="607" customFormat="1" ht="13.2">
      <c r="B306" s="493"/>
      <c r="F306" s="1666"/>
      <c r="O306" s="1595"/>
      <c r="Q306" s="1595"/>
      <c r="R306" s="1595"/>
      <c r="S306" s="1595"/>
      <c r="T306" s="1595"/>
      <c r="U306" s="1595"/>
      <c r="V306" s="1595"/>
    </row>
    <row r="307" spans="2:22" s="607" customFormat="1" ht="13.2">
      <c r="B307" s="493"/>
      <c r="F307" s="1666"/>
      <c r="O307" s="1595"/>
      <c r="Q307" s="1595"/>
      <c r="R307" s="1595"/>
      <c r="S307" s="1595"/>
      <c r="T307" s="1595"/>
      <c r="U307" s="1595"/>
      <c r="V307" s="1595"/>
    </row>
    <row r="308" spans="2:22" s="607" customFormat="1" ht="13.2">
      <c r="B308" s="493"/>
      <c r="F308" s="1666"/>
      <c r="O308" s="1595"/>
      <c r="Q308" s="1595"/>
      <c r="R308" s="1595"/>
      <c r="S308" s="1595"/>
      <c r="T308" s="1595"/>
      <c r="U308" s="1595"/>
      <c r="V308" s="1595"/>
    </row>
    <row r="309" spans="2:22" ht="13.2">
      <c r="P309" s="607"/>
      <c r="Q309" s="1595"/>
      <c r="R309" s="1595"/>
      <c r="S309" s="1595"/>
      <c r="T309" s="1595"/>
      <c r="U309" s="1595"/>
      <c r="V309" s="1595"/>
    </row>
    <row r="310" spans="2:22" ht="13.2">
      <c r="P310" s="607"/>
      <c r="Q310" s="1595"/>
      <c r="R310" s="1595"/>
      <c r="S310" s="1595"/>
      <c r="T310" s="1595"/>
      <c r="U310" s="1595"/>
      <c r="V310" s="1595"/>
    </row>
    <row r="311" spans="2:22" ht="13.2">
      <c r="P311" s="607"/>
      <c r="Q311" s="1595"/>
      <c r="R311" s="1595"/>
      <c r="S311" s="1595"/>
      <c r="T311" s="1595"/>
      <c r="U311" s="1595"/>
      <c r="V311" s="1595"/>
    </row>
    <row r="312" spans="2:22" ht="13.2">
      <c r="P312" s="607"/>
      <c r="Q312" s="1595"/>
      <c r="R312" s="1595"/>
      <c r="S312" s="1595"/>
      <c r="T312" s="1595"/>
      <c r="U312" s="1595"/>
      <c r="V312" s="1595"/>
    </row>
    <row r="313" spans="2:22" ht="13.2">
      <c r="P313" s="607"/>
      <c r="Q313" s="1595"/>
      <c r="R313" s="1595"/>
      <c r="S313" s="1595"/>
      <c r="T313" s="1595"/>
      <c r="U313" s="1595"/>
      <c r="V313" s="1595"/>
    </row>
    <row r="314" spans="2:22" ht="13.2">
      <c r="P314" s="607"/>
      <c r="Q314" s="1595"/>
      <c r="R314" s="1595"/>
      <c r="S314" s="1595"/>
      <c r="T314" s="1595"/>
      <c r="U314" s="1595"/>
      <c r="V314" s="1595"/>
    </row>
    <row r="315" spans="2:22" ht="13.2">
      <c r="P315" s="607"/>
      <c r="Q315" s="1595"/>
      <c r="R315" s="1595"/>
      <c r="S315" s="1595"/>
      <c r="T315" s="1595"/>
      <c r="U315" s="1595"/>
      <c r="V315" s="1595"/>
    </row>
    <row r="316" spans="2:22" ht="13.2">
      <c r="P316" s="607"/>
      <c r="Q316" s="1595"/>
      <c r="R316" s="1595"/>
      <c r="S316" s="1595"/>
      <c r="T316" s="1595"/>
      <c r="U316" s="1595"/>
      <c r="V316" s="1595"/>
    </row>
    <row r="317" spans="2:22" ht="13.2">
      <c r="P317" s="607"/>
      <c r="Q317" s="1595"/>
      <c r="R317" s="1595"/>
      <c r="S317" s="1595"/>
      <c r="T317" s="1595"/>
      <c r="U317" s="1595"/>
      <c r="V317" s="1595"/>
    </row>
    <row r="318" spans="2:22" ht="13.2">
      <c r="P318" s="607"/>
      <c r="Q318" s="1595"/>
      <c r="R318" s="1595"/>
      <c r="S318" s="1595"/>
      <c r="T318" s="1595"/>
      <c r="U318" s="1595"/>
      <c r="V318" s="1595"/>
    </row>
    <row r="319" spans="2:22" ht="13.2">
      <c r="P319" s="607"/>
      <c r="Q319" s="1595"/>
      <c r="R319" s="1595"/>
      <c r="S319" s="1595"/>
      <c r="T319" s="1595"/>
      <c r="U319" s="1595"/>
      <c r="V319" s="1595"/>
    </row>
    <row r="320" spans="2:22" ht="13.2">
      <c r="P320" s="607"/>
      <c r="Q320" s="1595"/>
      <c r="R320" s="1595"/>
      <c r="S320" s="1595"/>
      <c r="T320" s="1595"/>
      <c r="U320" s="1595"/>
      <c r="V320" s="1595"/>
    </row>
    <row r="321" spans="16:22" ht="13.2">
      <c r="P321" s="607"/>
      <c r="Q321" s="1595"/>
      <c r="R321" s="1595"/>
      <c r="S321" s="1595"/>
      <c r="T321" s="1595"/>
      <c r="U321" s="1595"/>
      <c r="V321" s="1595"/>
    </row>
    <row r="322" spans="16:22" ht="13.2">
      <c r="P322" s="607"/>
      <c r="Q322" s="1595"/>
      <c r="R322" s="1595"/>
      <c r="S322" s="1595"/>
      <c r="T322" s="1595"/>
      <c r="U322" s="1595"/>
      <c r="V322" s="1595"/>
    </row>
    <row r="323" spans="16:22" ht="13.2">
      <c r="P323" s="607"/>
      <c r="Q323" s="1595"/>
      <c r="R323" s="1595"/>
      <c r="S323" s="1595"/>
      <c r="T323" s="1595"/>
      <c r="U323" s="1595"/>
      <c r="V323" s="1595"/>
    </row>
    <row r="324" spans="16:22" ht="13.2">
      <c r="P324" s="607"/>
      <c r="Q324" s="1595"/>
      <c r="R324" s="1595"/>
      <c r="S324" s="1595"/>
      <c r="T324" s="1595"/>
      <c r="U324" s="1595"/>
      <c r="V324" s="1595"/>
    </row>
    <row r="325" spans="16:22" ht="13.2">
      <c r="P325" s="607"/>
      <c r="Q325" s="1595"/>
      <c r="R325" s="1595"/>
      <c r="S325" s="1595"/>
      <c r="T325" s="1595"/>
      <c r="U325" s="1595"/>
      <c r="V325" s="1595"/>
    </row>
    <row r="326" spans="16:22" ht="13.2">
      <c r="P326" s="607"/>
      <c r="Q326" s="1595"/>
      <c r="R326" s="1595"/>
      <c r="S326" s="1595"/>
      <c r="T326" s="1595"/>
      <c r="U326" s="1595"/>
      <c r="V326" s="1595"/>
    </row>
    <row r="327" spans="16:22" ht="13.2">
      <c r="P327" s="607"/>
      <c r="Q327" s="1595"/>
      <c r="R327" s="1595"/>
      <c r="S327" s="1595"/>
      <c r="T327" s="1595"/>
      <c r="U327" s="1595"/>
    </row>
    <row r="328" spans="16:22" ht="13.2">
      <c r="P328" s="607"/>
      <c r="Q328" s="1595"/>
      <c r="R328" s="1595"/>
      <c r="S328" s="1595"/>
      <c r="T328" s="1595"/>
      <c r="U328" s="1595"/>
    </row>
    <row r="329" spans="16:22" ht="13.2">
      <c r="P329" s="607"/>
      <c r="Q329" s="1595"/>
      <c r="R329" s="1595"/>
      <c r="S329" s="1595"/>
      <c r="T329" s="1595"/>
      <c r="U329" s="1595"/>
    </row>
    <row r="330" spans="16:22" ht="13.2">
      <c r="P330" s="607"/>
      <c r="Q330" s="1595"/>
      <c r="R330" s="1595"/>
      <c r="S330" s="1595"/>
      <c r="T330" s="1595"/>
      <c r="U330" s="1595"/>
    </row>
    <row r="331" spans="16:22" ht="13.2">
      <c r="P331" s="607"/>
      <c r="Q331" s="1595"/>
      <c r="R331" s="1595"/>
      <c r="S331" s="1595"/>
      <c r="T331" s="1595"/>
      <c r="U331" s="1595"/>
    </row>
    <row r="332" spans="16:22" ht="13.2">
      <c r="P332" s="607"/>
      <c r="Q332" s="1595"/>
      <c r="R332" s="1595"/>
      <c r="S332" s="1595"/>
      <c r="T332" s="1595"/>
      <c r="U332" s="1595"/>
    </row>
    <row r="333" spans="16:22" ht="13.2">
      <c r="P333" s="607"/>
      <c r="Q333" s="1595"/>
      <c r="R333" s="1595"/>
      <c r="S333" s="1595"/>
      <c r="T333" s="1595"/>
      <c r="U333" s="1595"/>
    </row>
    <row r="334" spans="16:22" ht="13.2">
      <c r="P334" s="607"/>
      <c r="Q334" s="1595"/>
      <c r="R334" s="1595"/>
      <c r="S334" s="1595"/>
      <c r="T334" s="1595"/>
      <c r="U334" s="1595"/>
    </row>
    <row r="335" spans="16:22" ht="13.2">
      <c r="P335" s="607"/>
      <c r="Q335" s="1595"/>
      <c r="R335" s="1595"/>
      <c r="S335" s="1595"/>
      <c r="T335" s="1595"/>
      <c r="U335" s="1595"/>
    </row>
    <row r="336" spans="16:22" ht="13.2">
      <c r="P336" s="607"/>
      <c r="Q336" s="1595"/>
      <c r="R336" s="1595"/>
      <c r="S336" s="1595"/>
      <c r="T336" s="1595"/>
      <c r="U336" s="1595"/>
    </row>
    <row r="337" spans="16:21" ht="13.2">
      <c r="P337" s="607"/>
      <c r="Q337" s="1595"/>
      <c r="R337" s="1595"/>
      <c r="S337" s="1595"/>
      <c r="T337" s="1595"/>
      <c r="U337" s="1595"/>
    </row>
    <row r="338" spans="16:21" ht="13.2">
      <c r="P338" s="607"/>
      <c r="Q338" s="1595"/>
      <c r="R338" s="1595"/>
      <c r="S338" s="1595"/>
      <c r="T338" s="1595"/>
      <c r="U338" s="1595"/>
    </row>
    <row r="339" spans="16:21" ht="13.2">
      <c r="P339" s="607"/>
      <c r="Q339" s="1595"/>
      <c r="R339" s="1595"/>
      <c r="S339" s="1595"/>
      <c r="T339" s="1595"/>
      <c r="U339" s="1595"/>
    </row>
    <row r="340" spans="16:21" ht="13.2">
      <c r="P340" s="607"/>
      <c r="Q340" s="1595"/>
      <c r="R340" s="1595"/>
      <c r="S340" s="1595"/>
      <c r="T340" s="1595"/>
      <c r="U340" s="1595"/>
    </row>
    <row r="341" spans="16:21" ht="13.2">
      <c r="P341" s="607"/>
      <c r="Q341" s="1595"/>
      <c r="R341" s="1595"/>
      <c r="S341" s="1595"/>
      <c r="T341" s="1595"/>
      <c r="U341" s="1595"/>
    </row>
    <row r="342" spans="16:21" ht="13.2">
      <c r="P342" s="607"/>
      <c r="Q342" s="1595"/>
      <c r="R342" s="1595"/>
      <c r="S342" s="1595"/>
      <c r="T342" s="1595"/>
      <c r="U342" s="1595"/>
    </row>
    <row r="343" spans="16:21" ht="13.2">
      <c r="P343" s="607"/>
      <c r="Q343" s="1595"/>
      <c r="R343" s="1595"/>
      <c r="S343" s="1595"/>
      <c r="T343" s="1595"/>
      <c r="U343" s="1595"/>
    </row>
    <row r="344" spans="16:21" ht="13.2">
      <c r="P344" s="607"/>
      <c r="Q344" s="1595"/>
      <c r="R344" s="1595"/>
      <c r="S344" s="1595"/>
      <c r="T344" s="1595"/>
      <c r="U344" s="1595"/>
    </row>
    <row r="345" spans="16:21" ht="13.2">
      <c r="P345" s="607"/>
      <c r="Q345" s="1595"/>
      <c r="R345" s="1595"/>
      <c r="S345" s="1595"/>
      <c r="T345" s="1595"/>
      <c r="U345" s="1595"/>
    </row>
    <row r="346" spans="16:21" ht="13.2">
      <c r="P346" s="607"/>
      <c r="Q346" s="1595"/>
      <c r="R346" s="1595"/>
      <c r="S346" s="1595"/>
      <c r="T346" s="1595"/>
      <c r="U346" s="1595"/>
    </row>
    <row r="347" spans="16:21" ht="13.2">
      <c r="P347" s="607"/>
      <c r="Q347" s="1595"/>
      <c r="R347" s="1595"/>
      <c r="S347" s="1595"/>
      <c r="T347" s="1595"/>
      <c r="U347" s="1595"/>
    </row>
    <row r="348" spans="16:21" ht="13.2">
      <c r="P348" s="607"/>
      <c r="Q348" s="1595"/>
      <c r="R348" s="1595"/>
      <c r="S348" s="1595"/>
      <c r="T348" s="1595"/>
      <c r="U348" s="1595"/>
    </row>
    <row r="349" spans="16:21" ht="13.2">
      <c r="P349" s="607"/>
      <c r="Q349" s="1595"/>
      <c r="R349" s="1595"/>
      <c r="S349" s="1595"/>
      <c r="T349" s="1595"/>
      <c r="U349" s="1595"/>
    </row>
    <row r="350" spans="16:21" ht="13.2">
      <c r="P350" s="607"/>
      <c r="Q350" s="1595"/>
      <c r="R350" s="1595"/>
      <c r="S350" s="1595"/>
      <c r="T350" s="1595"/>
      <c r="U350" s="1595"/>
    </row>
    <row r="351" spans="16:21" ht="13.2">
      <c r="P351" s="607"/>
      <c r="Q351" s="1595"/>
      <c r="R351" s="1595"/>
      <c r="S351" s="1595"/>
      <c r="T351" s="1595"/>
      <c r="U351" s="1595"/>
    </row>
    <row r="352" spans="16:21" ht="13.2">
      <c r="P352" s="607"/>
      <c r="Q352" s="1595"/>
      <c r="R352" s="1595"/>
      <c r="S352" s="1595"/>
      <c r="T352" s="1595"/>
      <c r="U352" s="1595"/>
    </row>
    <row r="353" spans="16:21" ht="13.2">
      <c r="P353" s="607"/>
      <c r="Q353" s="1595"/>
      <c r="R353" s="1595"/>
      <c r="S353" s="1595"/>
      <c r="T353" s="1595"/>
      <c r="U353" s="1595"/>
    </row>
    <row r="354" spans="16:21" ht="13.2">
      <c r="P354" s="607"/>
      <c r="Q354" s="1595"/>
      <c r="R354" s="1595"/>
      <c r="S354" s="1595"/>
      <c r="T354" s="1595"/>
      <c r="U354" s="1595"/>
    </row>
    <row r="355" spans="16:21" ht="13.2">
      <c r="P355" s="607"/>
      <c r="Q355" s="1595"/>
      <c r="R355" s="1595"/>
      <c r="S355" s="1595"/>
      <c r="T355" s="1595"/>
      <c r="U355" s="1595"/>
    </row>
    <row r="356" spans="16:21" ht="13.2">
      <c r="P356" s="607"/>
      <c r="Q356" s="1595"/>
      <c r="R356" s="1595"/>
      <c r="S356" s="1595"/>
      <c r="T356" s="1595"/>
      <c r="U356" s="1595"/>
    </row>
    <row r="357" spans="16:21" ht="13.2">
      <c r="P357" s="607"/>
      <c r="Q357" s="1595"/>
      <c r="R357" s="1595"/>
      <c r="S357" s="1595"/>
      <c r="T357" s="1595"/>
      <c r="U357" s="1595"/>
    </row>
    <row r="358" spans="16:21" ht="13.2">
      <c r="P358" s="607"/>
      <c r="Q358" s="1595"/>
      <c r="R358" s="1595"/>
      <c r="S358" s="1595"/>
      <c r="T358" s="1595"/>
      <c r="U358" s="1595"/>
    </row>
    <row r="359" spans="16:21" ht="13.2">
      <c r="P359" s="607"/>
      <c r="Q359" s="1595"/>
      <c r="R359" s="1595"/>
      <c r="S359" s="1595"/>
      <c r="T359" s="1595"/>
      <c r="U359" s="1595"/>
    </row>
    <row r="360" spans="16:21" ht="13.2">
      <c r="P360" s="607"/>
      <c r="Q360" s="1595"/>
      <c r="R360" s="1595"/>
      <c r="S360" s="1595"/>
      <c r="T360" s="1595"/>
      <c r="U360" s="1595"/>
    </row>
    <row r="361" spans="16:21" ht="13.2">
      <c r="P361" s="607"/>
      <c r="Q361" s="1595"/>
      <c r="R361" s="1595"/>
      <c r="S361" s="1595"/>
      <c r="T361" s="1595"/>
      <c r="U361" s="1595"/>
    </row>
    <row r="362" spans="16:21" ht="13.2">
      <c r="P362" s="607"/>
      <c r="Q362" s="1595"/>
      <c r="R362" s="1595"/>
      <c r="S362" s="1595"/>
      <c r="T362" s="1595"/>
      <c r="U362" s="1595"/>
    </row>
    <row r="363" spans="16:21" ht="13.2">
      <c r="P363" s="607"/>
      <c r="Q363" s="1595"/>
      <c r="R363" s="1595"/>
      <c r="S363" s="1595"/>
      <c r="T363" s="1595"/>
      <c r="U363" s="1595"/>
    </row>
    <row r="364" spans="16:21" ht="13.2">
      <c r="P364" s="607"/>
      <c r="Q364" s="1595"/>
      <c r="R364" s="1595"/>
      <c r="S364" s="1595"/>
      <c r="T364" s="1595"/>
      <c r="U364" s="1595"/>
    </row>
    <row r="365" spans="16:21" ht="13.2">
      <c r="P365" s="607"/>
      <c r="Q365" s="1595"/>
      <c r="R365" s="1595"/>
      <c r="S365" s="1595"/>
      <c r="T365" s="1595"/>
    </row>
    <row r="366" spans="16:21" ht="13.2">
      <c r="P366" s="607"/>
      <c r="Q366" s="1595"/>
      <c r="R366" s="1595"/>
      <c r="S366" s="1595"/>
      <c r="T366" s="1595"/>
    </row>
    <row r="367" spans="16:21" ht="13.2">
      <c r="P367" s="607"/>
      <c r="Q367" s="1595"/>
      <c r="R367" s="1595"/>
      <c r="S367" s="1595"/>
      <c r="T367" s="1595"/>
    </row>
    <row r="368" spans="16:21" ht="13.2">
      <c r="P368" s="607"/>
      <c r="Q368" s="1595"/>
      <c r="R368" s="1595"/>
      <c r="S368" s="1595"/>
      <c r="T368" s="1595"/>
    </row>
    <row r="369" spans="16:20" ht="13.2">
      <c r="P369" s="607"/>
      <c r="Q369" s="1595"/>
      <c r="R369" s="1595"/>
      <c r="S369" s="1595"/>
      <c r="T369" s="1595"/>
    </row>
    <row r="370" spans="16:20" ht="13.2">
      <c r="P370" s="607"/>
      <c r="Q370" s="1595"/>
      <c r="R370" s="1595"/>
      <c r="S370" s="1595"/>
      <c r="T370" s="1595"/>
    </row>
    <row r="371" spans="16:20" ht="13.2">
      <c r="P371" s="607"/>
      <c r="Q371" s="1595"/>
      <c r="R371" s="1595"/>
      <c r="S371" s="1595"/>
      <c r="T371" s="1595"/>
    </row>
    <row r="372" spans="16:20" ht="13.2">
      <c r="P372" s="607"/>
      <c r="Q372" s="1595"/>
      <c r="R372" s="1595"/>
      <c r="S372" s="1595"/>
      <c r="T372" s="1595"/>
    </row>
    <row r="373" spans="16:20" ht="13.2">
      <c r="P373" s="607"/>
      <c r="Q373" s="1595"/>
      <c r="R373" s="1595"/>
      <c r="S373" s="1595"/>
      <c r="T373" s="1595"/>
    </row>
    <row r="374" spans="16:20" ht="13.2">
      <c r="P374" s="607"/>
      <c r="Q374" s="1595"/>
      <c r="R374" s="1595"/>
      <c r="S374" s="1595"/>
      <c r="T374" s="1595"/>
    </row>
    <row r="375" spans="16:20" ht="13.2">
      <c r="P375" s="607"/>
      <c r="Q375" s="1595"/>
      <c r="R375" s="1595"/>
      <c r="S375" s="1595"/>
      <c r="T375" s="1595"/>
    </row>
    <row r="376" spans="16:20" ht="13.2">
      <c r="P376" s="607"/>
      <c r="Q376" s="1595"/>
      <c r="R376" s="1595"/>
      <c r="S376" s="1595"/>
      <c r="T376" s="1595"/>
    </row>
    <row r="377" spans="16:20" ht="13.2">
      <c r="P377" s="607"/>
      <c r="Q377" s="1595"/>
      <c r="R377" s="1595"/>
      <c r="S377" s="1595"/>
      <c r="T377" s="1595"/>
    </row>
    <row r="378" spans="16:20" ht="13.2">
      <c r="P378" s="607"/>
      <c r="Q378" s="1595"/>
      <c r="R378" s="1595"/>
      <c r="S378" s="1595"/>
      <c r="T378" s="1595"/>
    </row>
    <row r="379" spans="16:20" ht="13.2">
      <c r="P379" s="607"/>
      <c r="Q379" s="1595"/>
      <c r="R379" s="1595"/>
      <c r="S379" s="1595"/>
      <c r="T379" s="1595"/>
    </row>
    <row r="380" spans="16:20" ht="13.2">
      <c r="P380" s="607"/>
      <c r="Q380" s="1595"/>
      <c r="R380" s="1595"/>
      <c r="S380" s="1595"/>
      <c r="T380" s="1595"/>
    </row>
    <row r="381" spans="16:20" ht="13.2">
      <c r="P381" s="607"/>
      <c r="Q381" s="1595"/>
      <c r="R381" s="1595"/>
      <c r="S381" s="1595"/>
      <c r="T381" s="1595"/>
    </row>
    <row r="382" spans="16:20" ht="13.2">
      <c r="P382" s="607"/>
      <c r="Q382" s="1595"/>
      <c r="R382" s="1595"/>
      <c r="S382" s="1595"/>
      <c r="T382" s="1595"/>
    </row>
    <row r="383" spans="16:20" ht="13.2">
      <c r="P383" s="607"/>
      <c r="Q383" s="1595"/>
      <c r="R383" s="1595"/>
      <c r="S383" s="1595"/>
      <c r="T383" s="1595"/>
    </row>
    <row r="384" spans="16:20" ht="13.2">
      <c r="P384" s="607"/>
      <c r="Q384" s="1595"/>
      <c r="R384" s="1595"/>
      <c r="S384" s="1595"/>
      <c r="T384" s="1595"/>
    </row>
    <row r="385" spans="16:20" ht="13.2">
      <c r="P385" s="607"/>
      <c r="Q385" s="1595"/>
      <c r="R385" s="1595"/>
      <c r="S385" s="1595"/>
      <c r="T385" s="1595"/>
    </row>
    <row r="386" spans="16:20" ht="13.2">
      <c r="P386" s="607"/>
      <c r="Q386" s="1595"/>
      <c r="R386" s="1595"/>
      <c r="S386" s="1595"/>
      <c r="T386" s="1595"/>
    </row>
    <row r="387" spans="16:20" ht="13.2">
      <c r="P387" s="607"/>
      <c r="Q387" s="1595"/>
      <c r="R387" s="1595"/>
      <c r="S387" s="1595"/>
      <c r="T387" s="1595"/>
    </row>
    <row r="388" spans="16:20" ht="13.2">
      <c r="P388" s="607"/>
      <c r="Q388" s="1595"/>
      <c r="R388" s="1595"/>
      <c r="S388" s="1595"/>
      <c r="T388" s="1595"/>
    </row>
    <row r="389" spans="16:20" ht="13.2">
      <c r="P389" s="607"/>
      <c r="Q389" s="1595"/>
      <c r="R389" s="1595"/>
      <c r="S389" s="1595"/>
      <c r="T389" s="1595"/>
    </row>
    <row r="390" spans="16:20" ht="13.2">
      <c r="P390" s="607"/>
      <c r="Q390" s="1595"/>
      <c r="R390" s="1595"/>
      <c r="S390" s="1595"/>
      <c r="T390" s="1595"/>
    </row>
    <row r="391" spans="16:20" ht="13.2">
      <c r="P391" s="607"/>
      <c r="Q391" s="1595"/>
      <c r="R391" s="1595"/>
      <c r="S391" s="1595"/>
      <c r="T391" s="1595"/>
    </row>
    <row r="392" spans="16:20" ht="13.2">
      <c r="P392" s="607"/>
      <c r="Q392" s="1595"/>
      <c r="R392" s="1595"/>
      <c r="S392" s="1595"/>
      <c r="T392" s="1595"/>
    </row>
    <row r="393" spans="16:20" ht="13.2">
      <c r="P393" s="607"/>
      <c r="Q393" s="1595"/>
      <c r="R393" s="1595"/>
      <c r="S393" s="1595"/>
      <c r="T393" s="1595"/>
    </row>
    <row r="394" spans="16:20" ht="13.2">
      <c r="P394" s="607"/>
      <c r="Q394" s="1595"/>
      <c r="R394" s="1595"/>
      <c r="S394" s="1595"/>
      <c r="T394" s="1595"/>
    </row>
    <row r="395" spans="16:20" ht="13.2">
      <c r="P395" s="607"/>
      <c r="Q395" s="1595"/>
      <c r="R395" s="1595"/>
      <c r="S395" s="1595"/>
      <c r="T395" s="1595"/>
    </row>
    <row r="396" spans="16:20" ht="13.2">
      <c r="P396" s="607"/>
      <c r="Q396" s="1595"/>
      <c r="R396" s="1595"/>
      <c r="S396" s="1595"/>
      <c r="T396" s="1595"/>
    </row>
    <row r="397" spans="16:20" ht="13.2">
      <c r="P397" s="607"/>
      <c r="Q397" s="1595"/>
      <c r="R397" s="1595"/>
      <c r="S397" s="1595"/>
      <c r="T397" s="1595"/>
    </row>
    <row r="398" spans="16:20" ht="13.2">
      <c r="P398" s="607"/>
      <c r="Q398" s="1595"/>
      <c r="R398" s="1595"/>
      <c r="S398" s="1595"/>
      <c r="T398" s="1595"/>
    </row>
    <row r="399" spans="16:20" ht="13.2">
      <c r="P399" s="607"/>
      <c r="Q399" s="1595"/>
      <c r="R399" s="1595"/>
      <c r="S399" s="1595"/>
      <c r="T399" s="1595"/>
    </row>
    <row r="400" spans="16:20" ht="13.2">
      <c r="P400" s="607"/>
      <c r="Q400" s="1595"/>
      <c r="R400" s="1595"/>
      <c r="S400" s="1595"/>
      <c r="T400" s="1595"/>
    </row>
    <row r="401" spans="16:20" ht="13.2">
      <c r="P401" s="607"/>
      <c r="Q401" s="1595"/>
      <c r="R401" s="1595"/>
      <c r="S401" s="1595"/>
      <c r="T401" s="1595"/>
    </row>
    <row r="402" spans="16:20" ht="13.2">
      <c r="P402" s="607"/>
      <c r="Q402" s="1595"/>
      <c r="R402" s="1595"/>
      <c r="S402" s="1595"/>
      <c r="T402" s="1595"/>
    </row>
    <row r="403" spans="16:20" ht="13.2">
      <c r="P403" s="607"/>
      <c r="Q403" s="1595"/>
      <c r="R403" s="1595"/>
      <c r="S403" s="1595"/>
      <c r="T403" s="1595"/>
    </row>
    <row r="404" spans="16:20" ht="13.2">
      <c r="P404" s="607"/>
      <c r="Q404" s="1595"/>
      <c r="R404" s="1595"/>
      <c r="S404" s="1595"/>
      <c r="T404" s="1595"/>
    </row>
    <row r="405" spans="16:20" ht="13.2">
      <c r="P405" s="607"/>
      <c r="Q405" s="1595"/>
      <c r="R405" s="1595"/>
      <c r="S405" s="1595"/>
      <c r="T405" s="1595"/>
    </row>
    <row r="406" spans="16:20" ht="13.2">
      <c r="P406" s="607"/>
      <c r="Q406" s="1595"/>
      <c r="R406" s="1595"/>
      <c r="S406" s="1595"/>
      <c r="T406" s="1595"/>
    </row>
    <row r="407" spans="16:20" ht="13.2">
      <c r="P407" s="607"/>
      <c r="Q407" s="1595"/>
      <c r="R407" s="1595"/>
      <c r="S407" s="1595"/>
      <c r="T407" s="1595"/>
    </row>
    <row r="408" spans="16:20" ht="13.2">
      <c r="P408" s="607"/>
      <c r="Q408" s="1595"/>
      <c r="R408" s="1595"/>
      <c r="S408" s="1595"/>
      <c r="T408" s="1595"/>
    </row>
    <row r="409" spans="16:20" ht="13.2">
      <c r="P409" s="607"/>
      <c r="Q409" s="1595"/>
      <c r="R409" s="1595"/>
      <c r="S409" s="1595"/>
      <c r="T409" s="1595"/>
    </row>
    <row r="410" spans="16:20" ht="13.2">
      <c r="P410" s="607"/>
      <c r="Q410" s="1595"/>
      <c r="R410" s="1595"/>
      <c r="S410" s="1595"/>
      <c r="T410" s="1595"/>
    </row>
    <row r="411" spans="16:20" ht="13.2">
      <c r="P411" s="607"/>
      <c r="Q411" s="1595"/>
      <c r="R411" s="1595"/>
      <c r="S411" s="1595"/>
      <c r="T411" s="1595"/>
    </row>
    <row r="412" spans="16:20" ht="13.2">
      <c r="P412" s="607"/>
      <c r="Q412" s="1595"/>
      <c r="R412" s="1595"/>
      <c r="S412" s="1595"/>
      <c r="T412" s="1595"/>
    </row>
    <row r="413" spans="16:20" ht="13.2">
      <c r="P413" s="607"/>
      <c r="Q413" s="1595"/>
      <c r="R413" s="1595"/>
      <c r="S413" s="1595"/>
      <c r="T413" s="1595"/>
    </row>
    <row r="414" spans="16:20" ht="13.2">
      <c r="P414" s="607"/>
      <c r="Q414" s="1595"/>
      <c r="R414" s="1595"/>
      <c r="S414" s="1595"/>
      <c r="T414" s="1595"/>
    </row>
    <row r="415" spans="16:20" ht="13.2">
      <c r="Q415" s="1595"/>
      <c r="R415" s="1595"/>
      <c r="S415" s="1595"/>
      <c r="T415" s="1595"/>
    </row>
    <row r="416" spans="16:20" ht="13.2">
      <c r="Q416" s="1595"/>
      <c r="R416" s="1595"/>
      <c r="S416" s="1595"/>
      <c r="T416" s="1595"/>
    </row>
    <row r="417" spans="17:20" ht="13.2">
      <c r="Q417" s="1595"/>
      <c r="R417" s="1595"/>
      <c r="S417" s="1595"/>
      <c r="T417" s="1595"/>
    </row>
    <row r="418" spans="17:20" ht="13.2">
      <c r="Q418" s="1595"/>
      <c r="R418" s="1595"/>
      <c r="S418" s="1595"/>
      <c r="T418" s="1595"/>
    </row>
    <row r="419" spans="17:20" ht="13.2">
      <c r="Q419" s="1595"/>
      <c r="R419" s="1595"/>
      <c r="S419" s="1595"/>
      <c r="T419" s="1595"/>
    </row>
    <row r="420" spans="17:20" ht="13.2">
      <c r="Q420" s="1595"/>
      <c r="R420" s="1595"/>
      <c r="S420" s="1595"/>
      <c r="T420" s="1595"/>
    </row>
    <row r="421" spans="17:20" ht="13.2">
      <c r="Q421" s="1595"/>
      <c r="R421" s="1595"/>
      <c r="S421" s="1595"/>
      <c r="T421" s="1595"/>
    </row>
    <row r="422" spans="17:20" ht="13.2">
      <c r="Q422" s="1595"/>
      <c r="R422" s="1595"/>
      <c r="S422" s="1595"/>
      <c r="T422" s="1595"/>
    </row>
    <row r="423" spans="17:20" ht="13.2">
      <c r="Q423" s="1595"/>
      <c r="R423" s="1595"/>
      <c r="S423" s="1595"/>
      <c r="T423" s="1595"/>
    </row>
    <row r="424" spans="17:20" ht="13.2">
      <c r="Q424" s="1595"/>
      <c r="R424" s="1595"/>
      <c r="S424" s="1595"/>
      <c r="T424" s="1595"/>
    </row>
    <row r="425" spans="17:20" ht="13.2">
      <c r="Q425" s="1595"/>
      <c r="R425" s="1595"/>
      <c r="S425" s="1595"/>
      <c r="T425" s="1595"/>
    </row>
    <row r="426" spans="17:20" ht="13.2">
      <c r="Q426" s="1595"/>
      <c r="R426" s="1595"/>
      <c r="S426" s="1595"/>
      <c r="T426" s="1595"/>
    </row>
    <row r="427" spans="17:20" ht="13.2">
      <c r="Q427" s="1595"/>
      <c r="R427" s="1595"/>
      <c r="S427" s="1595"/>
      <c r="T427" s="1595"/>
    </row>
    <row r="428" spans="17:20" ht="13.2">
      <c r="Q428" s="1595"/>
      <c r="R428" s="1595"/>
      <c r="S428" s="1595"/>
      <c r="T428" s="1595"/>
    </row>
    <row r="429" spans="17:20" ht="13.2">
      <c r="Q429" s="1595"/>
      <c r="R429" s="1595"/>
      <c r="S429" s="1595"/>
      <c r="T429" s="1595"/>
    </row>
    <row r="430" spans="17:20" ht="13.2">
      <c r="Q430" s="1595"/>
      <c r="R430" s="1595"/>
      <c r="S430" s="1595"/>
      <c r="T430" s="1595"/>
    </row>
    <row r="431" spans="17:20" ht="13.2">
      <c r="Q431" s="1595"/>
      <c r="R431" s="1595"/>
      <c r="S431" s="1595"/>
      <c r="T431" s="1595"/>
    </row>
    <row r="432" spans="17:20" ht="13.2">
      <c r="Q432" s="1595"/>
      <c r="R432" s="1595"/>
      <c r="S432" s="1595"/>
      <c r="T432" s="1595"/>
    </row>
    <row r="433" spans="17:20" ht="13.2">
      <c r="Q433" s="1595"/>
      <c r="R433" s="1595"/>
      <c r="S433" s="1595"/>
      <c r="T433" s="1595"/>
    </row>
    <row r="434" spans="17:20" ht="13.2">
      <c r="Q434" s="1595"/>
      <c r="R434" s="1595"/>
      <c r="S434" s="1595"/>
      <c r="T434" s="1595"/>
    </row>
    <row r="435" spans="17:20" ht="13.2">
      <c r="Q435" s="1595"/>
      <c r="R435" s="1595"/>
      <c r="S435" s="1595"/>
      <c r="T435" s="1595"/>
    </row>
    <row r="436" spans="17:20" ht="13.2">
      <c r="Q436" s="1595"/>
      <c r="R436" s="1595"/>
      <c r="S436" s="1595"/>
      <c r="T436" s="1595"/>
    </row>
    <row r="437" spans="17:20" ht="13.2">
      <c r="Q437" s="1595"/>
      <c r="R437" s="1595"/>
      <c r="S437" s="1595"/>
      <c r="T437" s="1595"/>
    </row>
    <row r="438" spans="17:20" ht="13.2">
      <c r="Q438" s="1595"/>
      <c r="R438" s="1595"/>
      <c r="S438" s="1595"/>
      <c r="T438" s="1595"/>
    </row>
    <row r="439" spans="17:20" ht="13.2">
      <c r="Q439" s="1595"/>
      <c r="R439" s="1595"/>
      <c r="S439" s="1595"/>
      <c r="T439" s="1595"/>
    </row>
    <row r="440" spans="17:20" ht="13.2">
      <c r="Q440" s="1595"/>
      <c r="R440" s="1595"/>
      <c r="S440" s="1595"/>
      <c r="T440" s="1595"/>
    </row>
    <row r="441" spans="17:20" ht="13.2">
      <c r="Q441" s="1595"/>
      <c r="R441" s="1595"/>
      <c r="S441" s="1595"/>
      <c r="T441" s="1595"/>
    </row>
    <row r="442" spans="17:20" ht="13.2">
      <c r="Q442" s="1595"/>
      <c r="R442" s="1595"/>
      <c r="S442" s="1595"/>
      <c r="T442" s="1595"/>
    </row>
    <row r="443" spans="17:20" ht="13.2">
      <c r="Q443" s="1595"/>
      <c r="R443" s="1595"/>
      <c r="S443" s="1595"/>
      <c r="T443" s="1595"/>
    </row>
    <row r="444" spans="17:20" ht="13.2">
      <c r="Q444" s="1595"/>
      <c r="R444" s="1595"/>
      <c r="S444" s="1595"/>
      <c r="T444" s="1595"/>
    </row>
    <row r="445" spans="17:20" ht="13.2">
      <c r="Q445" s="1595"/>
      <c r="R445" s="1595"/>
      <c r="S445" s="1595"/>
      <c r="T445" s="1595"/>
    </row>
    <row r="446" spans="17:20" ht="13.2">
      <c r="Q446" s="1595"/>
      <c r="R446" s="1595"/>
      <c r="S446" s="1595"/>
      <c r="T446" s="1595"/>
    </row>
    <row r="447" spans="17:20" ht="13.2">
      <c r="Q447" s="1595"/>
      <c r="R447" s="1595"/>
      <c r="S447" s="1595"/>
      <c r="T447" s="1595"/>
    </row>
    <row r="448" spans="17:20" ht="13.2">
      <c r="Q448" s="1595"/>
      <c r="R448" s="1595"/>
      <c r="S448" s="1595"/>
      <c r="T448" s="1595"/>
    </row>
    <row r="449" spans="17:20" ht="13.2">
      <c r="Q449" s="1595"/>
      <c r="R449" s="1595"/>
      <c r="S449" s="1595"/>
      <c r="T449" s="1595"/>
    </row>
    <row r="450" spans="17:20" ht="13.2">
      <c r="Q450" s="1595"/>
      <c r="R450" s="1595"/>
      <c r="S450" s="1595"/>
      <c r="T450" s="1595"/>
    </row>
    <row r="451" spans="17:20" ht="13.2">
      <c r="Q451" s="1595"/>
      <c r="R451" s="1595"/>
      <c r="S451" s="1595"/>
      <c r="T451" s="1595"/>
    </row>
    <row r="452" spans="17:20" ht="13.2">
      <c r="Q452" s="1595"/>
      <c r="R452" s="1595"/>
      <c r="S452" s="1595"/>
      <c r="T452" s="1595"/>
    </row>
    <row r="453" spans="17:20" ht="13.2">
      <c r="Q453" s="1595"/>
      <c r="R453" s="1595"/>
      <c r="S453" s="1595"/>
      <c r="T453" s="1595"/>
    </row>
    <row r="454" spans="17:20" ht="13.2">
      <c r="Q454" s="1595"/>
      <c r="R454" s="1595"/>
      <c r="S454" s="1595"/>
      <c r="T454" s="1595"/>
    </row>
    <row r="455" spans="17:20" ht="13.2">
      <c r="Q455" s="1595"/>
      <c r="R455" s="1595"/>
      <c r="S455" s="1595"/>
      <c r="T455" s="1595"/>
    </row>
    <row r="456" spans="17:20" ht="13.2">
      <c r="Q456" s="1595"/>
      <c r="R456" s="1595"/>
      <c r="S456" s="1595"/>
      <c r="T456" s="1595"/>
    </row>
    <row r="457" spans="17:20" ht="13.2">
      <c r="Q457" s="1595"/>
      <c r="R457" s="1595"/>
      <c r="S457" s="1595"/>
      <c r="T457" s="1595"/>
    </row>
    <row r="458" spans="17:20" ht="13.2">
      <c r="Q458" s="1595"/>
      <c r="R458" s="1595"/>
      <c r="S458" s="1595"/>
      <c r="T458" s="1595"/>
    </row>
    <row r="459" spans="17:20" ht="13.2">
      <c r="Q459" s="1595"/>
      <c r="R459" s="1595"/>
      <c r="S459" s="1595"/>
      <c r="T459" s="1595"/>
    </row>
    <row r="460" spans="17:20" ht="13.2">
      <c r="Q460" s="1595"/>
      <c r="R460" s="1595"/>
      <c r="S460" s="1595"/>
      <c r="T460" s="1595"/>
    </row>
    <row r="461" spans="17:20" ht="13.2">
      <c r="Q461" s="1595"/>
      <c r="R461" s="1595"/>
      <c r="S461" s="1595"/>
      <c r="T461" s="1595"/>
    </row>
    <row r="462" spans="17:20" ht="13.2">
      <c r="Q462" s="1595"/>
      <c r="R462" s="1595"/>
      <c r="S462" s="1595"/>
      <c r="T462" s="1595"/>
    </row>
    <row r="463" spans="17:20" ht="13.2">
      <c r="Q463" s="1595"/>
      <c r="R463" s="1595"/>
      <c r="S463" s="1595"/>
      <c r="T463" s="1595"/>
    </row>
    <row r="464" spans="17:20" ht="13.2">
      <c r="Q464" s="1595"/>
      <c r="R464" s="1595"/>
      <c r="S464" s="1595"/>
      <c r="T464" s="1595"/>
    </row>
    <row r="465" spans="17:20" ht="13.2">
      <c r="Q465" s="1595"/>
      <c r="R465" s="1595"/>
      <c r="S465" s="1595"/>
      <c r="T465" s="1595"/>
    </row>
    <row r="466" spans="17:20" ht="13.2">
      <c r="Q466" s="1595"/>
      <c r="R466" s="1595"/>
      <c r="S466" s="1595"/>
      <c r="T466" s="1595"/>
    </row>
    <row r="467" spans="17:20" ht="13.2">
      <c r="Q467" s="1595"/>
      <c r="R467" s="1595"/>
      <c r="S467" s="1595"/>
      <c r="T467" s="1595"/>
    </row>
    <row r="468" spans="17:20" ht="13.2">
      <c r="Q468" s="1595"/>
      <c r="R468" s="1595"/>
      <c r="S468" s="1595"/>
      <c r="T468" s="1595"/>
    </row>
    <row r="469" spans="17:20" ht="13.2">
      <c r="Q469" s="1595"/>
      <c r="R469" s="1595"/>
      <c r="S469" s="1595"/>
      <c r="T469" s="1595"/>
    </row>
    <row r="470" spans="17:20" ht="13.2">
      <c r="Q470" s="1595"/>
      <c r="R470" s="1595"/>
      <c r="S470" s="1595"/>
      <c r="T470" s="1595"/>
    </row>
  </sheetData>
  <mergeCells count="8">
    <mergeCell ref="A2:N2"/>
    <mergeCell ref="A4:N4"/>
    <mergeCell ref="A5:N5"/>
    <mergeCell ref="A7:N7"/>
    <mergeCell ref="C9:E9"/>
    <mergeCell ref="F9:H9"/>
    <mergeCell ref="I9:K9"/>
    <mergeCell ref="L9:N9"/>
  </mergeCells>
  <printOptions horizontalCentered="1"/>
  <pageMargins left="0.19685039370078741" right="0.39370078740157483" top="0.39370078740157483" bottom="0.39370078740157483" header="0.31496062992125984" footer="0.31496062992125984"/>
  <pageSetup paperSize="9" scale="72" orientation="portrait" r:id="rId1"/>
  <headerFooter alignWithMargins="0">
    <oddHeader>&amp;L&amp;"Arial,Gras"DGRH A1-1</oddHeader>
    <oddFooter>&amp;CPage &amp;P</oddFooter>
  </headerFooter>
  <rowBreaks count="1" manualBreakCount="1">
    <brk id="7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99FF"/>
  </sheetPr>
  <dimension ref="A1:FM476"/>
  <sheetViews>
    <sheetView showZeros="0" zoomScale="75" zoomScaleNormal="75" workbookViewId="0">
      <selection activeCell="C144" sqref="C144"/>
    </sheetView>
  </sheetViews>
  <sheetFormatPr baseColWidth="10" defaultColWidth="11.44140625" defaultRowHeight="11.4"/>
  <cols>
    <col min="1" max="1" width="28.6640625" style="523" customWidth="1"/>
    <col min="2" max="2" width="9.44140625" style="1585" customWidth="1"/>
    <col min="3" max="3" width="9" style="523" customWidth="1"/>
    <col min="4" max="4" width="9.88671875" style="523" customWidth="1"/>
    <col min="5" max="5" width="8.109375" style="523" customWidth="1"/>
    <col min="6" max="6" width="9.33203125" style="524" customWidth="1"/>
    <col min="7" max="7" width="9.33203125" style="523" customWidth="1"/>
    <col min="8" max="8" width="8.5546875" style="523" customWidth="1"/>
    <col min="9" max="9" width="9.44140625" style="523" customWidth="1"/>
    <col min="10" max="10" width="7.44140625" style="523" customWidth="1"/>
    <col min="11" max="11" width="6.88671875" style="523" customWidth="1"/>
    <col min="12" max="12" width="6.6640625" style="1585" customWidth="1"/>
    <col min="13" max="13" width="6.5546875" style="1585" customWidth="1"/>
    <col min="14" max="14" width="7" style="1585" customWidth="1"/>
    <col min="15" max="15" width="14.44140625" style="523" customWidth="1"/>
    <col min="16" max="16" width="11.44140625" style="523"/>
    <col min="17" max="17" width="23.5546875" style="1586" customWidth="1"/>
    <col min="18" max="18" width="27.5546875" style="1586" customWidth="1"/>
    <col min="19" max="19" width="11.44140625" style="1586"/>
    <col min="20" max="16384" width="11.44140625" style="523"/>
  </cols>
  <sheetData>
    <row r="1" spans="1:128" ht="15" customHeight="1">
      <c r="A1" s="2251"/>
      <c r="B1" s="2251"/>
      <c r="C1" s="2251"/>
      <c r="D1" s="2251"/>
      <c r="E1" s="2251"/>
      <c r="F1" s="2251"/>
      <c r="G1" s="2251"/>
      <c r="H1" s="2251"/>
      <c r="I1" s="2251"/>
      <c r="J1" s="2251"/>
      <c r="K1" s="2251"/>
      <c r="L1" s="2251"/>
      <c r="M1" s="2251"/>
      <c r="N1" s="2251"/>
      <c r="O1" s="1585"/>
    </row>
    <row r="2" spans="1:128" s="529" customFormat="1" ht="24" customHeight="1">
      <c r="A2" s="2237" t="str">
        <f>'fiche technique'!A4</f>
        <v>Bilan de la campagne 2014 de recrutement et d'affectation des maîtres de conférences (session synchronisée - ANTEE)</v>
      </c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1587"/>
      <c r="Q2" s="1588"/>
      <c r="R2" s="1588"/>
      <c r="S2" s="1588"/>
    </row>
    <row r="3" spans="1:128" s="529" customFormat="1" ht="15" customHeight="1">
      <c r="A3" s="1577"/>
      <c r="B3" s="1592"/>
      <c r="C3" s="557"/>
      <c r="D3" s="557"/>
      <c r="E3" s="557"/>
      <c r="F3" s="558"/>
      <c r="L3" s="1592"/>
      <c r="M3" s="1592"/>
      <c r="N3" s="1592"/>
      <c r="Q3" s="1588"/>
      <c r="R3" s="1588"/>
      <c r="S3" s="1588"/>
    </row>
    <row r="4" spans="1:128" s="529" customFormat="1" ht="19.5" customHeight="1">
      <c r="A4" s="2130" t="s">
        <v>106</v>
      </c>
      <c r="B4" s="2130"/>
      <c r="C4" s="2130"/>
      <c r="D4" s="2130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1591"/>
      <c r="Q4" s="1588"/>
      <c r="R4" s="1588"/>
      <c r="S4" s="1588"/>
    </row>
    <row r="5" spans="1:128" s="529" customFormat="1" ht="19.5" customHeight="1">
      <c r="A5" s="2130" t="s">
        <v>801</v>
      </c>
      <c r="B5" s="2130"/>
      <c r="C5" s="2130"/>
      <c r="D5" s="2130"/>
      <c r="E5" s="2130"/>
      <c r="F5" s="2130"/>
      <c r="G5" s="2130"/>
      <c r="H5" s="2130"/>
      <c r="I5" s="2130"/>
      <c r="J5" s="2130"/>
      <c r="K5" s="2130"/>
      <c r="L5" s="2130"/>
      <c r="M5" s="2130"/>
      <c r="N5" s="2130"/>
      <c r="O5" s="1591"/>
      <c r="Q5" s="1588"/>
      <c r="R5" s="1588"/>
      <c r="S5" s="1588"/>
    </row>
    <row r="6" spans="1:128" ht="15" customHeight="1">
      <c r="A6" s="1667"/>
      <c r="B6" s="1668"/>
      <c r="C6" s="607"/>
      <c r="D6" s="607"/>
      <c r="E6" s="607"/>
      <c r="F6" s="607"/>
    </row>
    <row r="7" spans="1:128" s="529" customFormat="1" ht="19.5" customHeight="1">
      <c r="A7" s="2131" t="s">
        <v>802</v>
      </c>
      <c r="B7" s="2131"/>
      <c r="C7" s="2131"/>
      <c r="D7" s="2131"/>
      <c r="E7" s="2131"/>
      <c r="F7" s="2131"/>
      <c r="G7" s="2131"/>
      <c r="H7" s="2131"/>
      <c r="I7" s="2131"/>
      <c r="J7" s="2131"/>
      <c r="K7" s="2131"/>
      <c r="L7" s="2131"/>
      <c r="M7" s="2131"/>
      <c r="N7" s="2131"/>
      <c r="O7" s="1592"/>
      <c r="Q7" s="1588"/>
      <c r="R7" s="1588"/>
      <c r="S7" s="1588"/>
    </row>
    <row r="8" spans="1:128" s="529" customFormat="1" ht="19.5" customHeight="1" thickBot="1">
      <c r="A8" s="1577"/>
      <c r="B8" s="1577"/>
      <c r="C8" s="1577"/>
      <c r="D8" s="1577"/>
      <c r="E8" s="1577"/>
      <c r="F8" s="1577"/>
      <c r="G8" s="1577"/>
      <c r="H8" s="1577"/>
      <c r="I8" s="1577"/>
      <c r="J8" s="1577"/>
      <c r="K8" s="1577"/>
      <c r="L8" s="1577"/>
      <c r="M8" s="1577"/>
      <c r="N8" s="1577"/>
      <c r="O8" s="1592"/>
      <c r="Q8" s="1588"/>
      <c r="R8" s="1588"/>
      <c r="S8" s="1588"/>
    </row>
    <row r="9" spans="1:128" ht="15" customHeight="1" thickBot="1">
      <c r="A9" s="560"/>
      <c r="B9" s="542"/>
      <c r="C9" s="2244" t="s">
        <v>750</v>
      </c>
      <c r="D9" s="2245"/>
      <c r="E9" s="2245"/>
      <c r="F9" s="2246" t="s">
        <v>751</v>
      </c>
      <c r="G9" s="2246"/>
      <c r="H9" s="2246"/>
      <c r="I9" s="2247" t="s">
        <v>754</v>
      </c>
      <c r="J9" s="2247"/>
      <c r="K9" s="2247"/>
      <c r="L9" s="2248" t="s">
        <v>752</v>
      </c>
      <c r="M9" s="2249"/>
      <c r="N9" s="2250"/>
      <c r="P9" s="1586"/>
      <c r="S9" s="523"/>
    </row>
    <row r="10" spans="1:128" s="607" customFormat="1" ht="69" customHeight="1">
      <c r="A10" s="1593" t="s">
        <v>803</v>
      </c>
      <c r="B10" s="1594" t="s">
        <v>1</v>
      </c>
      <c r="C10" s="1669" t="s">
        <v>577</v>
      </c>
      <c r="D10" s="1669" t="s">
        <v>702</v>
      </c>
      <c r="E10" s="1670" t="s">
        <v>705</v>
      </c>
      <c r="F10" s="1669" t="s">
        <v>577</v>
      </c>
      <c r="G10" s="1669" t="s">
        <v>702</v>
      </c>
      <c r="H10" s="1670" t="s">
        <v>705</v>
      </c>
      <c r="I10" s="1669" t="s">
        <v>577</v>
      </c>
      <c r="J10" s="1669" t="s">
        <v>702</v>
      </c>
      <c r="K10" s="1670" t="s">
        <v>705</v>
      </c>
      <c r="L10" s="1669" t="s">
        <v>577</v>
      </c>
      <c r="M10" s="1669" t="s">
        <v>702</v>
      </c>
      <c r="N10" s="1671" t="s">
        <v>705</v>
      </c>
      <c r="P10" s="1595"/>
      <c r="Q10" s="1595"/>
      <c r="R10" s="1595"/>
    </row>
    <row r="11" spans="1:128" s="742" customFormat="1" ht="13.2">
      <c r="A11" s="1596" t="s">
        <v>169</v>
      </c>
      <c r="B11" s="1483">
        <v>61</v>
      </c>
      <c r="C11" s="1500">
        <v>784</v>
      </c>
      <c r="D11" s="1483">
        <v>1160</v>
      </c>
      <c r="E11" s="1497">
        <v>1944</v>
      </c>
      <c r="F11" s="1672">
        <v>584</v>
      </c>
      <c r="G11" s="1672">
        <v>867</v>
      </c>
      <c r="H11" s="1673">
        <v>1451</v>
      </c>
      <c r="I11" s="1500">
        <v>26</v>
      </c>
      <c r="J11" s="1500">
        <v>30</v>
      </c>
      <c r="K11" s="1497">
        <v>56</v>
      </c>
      <c r="L11" s="1483">
        <v>3</v>
      </c>
      <c r="M11" s="1483"/>
      <c r="N11" s="1484">
        <v>3</v>
      </c>
      <c r="O11" s="607"/>
      <c r="P11" s="1595"/>
      <c r="Q11" s="1595"/>
      <c r="R11" s="1595" t="s">
        <v>577</v>
      </c>
      <c r="S11" s="607" t="s">
        <v>702</v>
      </c>
      <c r="T11" s="607" t="s">
        <v>898</v>
      </c>
      <c r="U11" s="607"/>
      <c r="V11" s="607"/>
      <c r="W11" s="607"/>
      <c r="X11" s="607"/>
      <c r="Y11" s="607"/>
      <c r="Z11" s="607"/>
      <c r="AA11" s="607"/>
      <c r="AB11" s="607"/>
      <c r="AC11" s="607"/>
      <c r="AD11" s="607"/>
      <c r="AE11" s="607"/>
      <c r="AF11" s="607"/>
      <c r="AG11" s="607"/>
      <c r="AH11" s="607"/>
      <c r="AI11" s="607"/>
      <c r="AJ11" s="607"/>
      <c r="AK11" s="607"/>
      <c r="AL11" s="607"/>
      <c r="AM11" s="607"/>
      <c r="AN11" s="607"/>
      <c r="AO11" s="607"/>
      <c r="AP11" s="607"/>
      <c r="AQ11" s="607"/>
      <c r="AR11" s="607"/>
      <c r="AS11" s="607"/>
      <c r="AT11" s="607"/>
      <c r="AU11" s="607"/>
      <c r="AV11" s="607"/>
      <c r="AW11" s="607"/>
      <c r="AX11" s="607"/>
      <c r="AY11" s="607"/>
      <c r="AZ11" s="607"/>
      <c r="BA11" s="607"/>
      <c r="BB11" s="607"/>
      <c r="BC11" s="607"/>
      <c r="BD11" s="607"/>
      <c r="BE11" s="607"/>
      <c r="BF11" s="607"/>
      <c r="BG11" s="607"/>
      <c r="BH11" s="607"/>
      <c r="BI11" s="607"/>
      <c r="BJ11" s="607"/>
      <c r="BK11" s="607"/>
      <c r="BL11" s="607"/>
      <c r="BM11" s="607"/>
      <c r="BN11" s="607"/>
      <c r="BO11" s="607"/>
      <c r="BP11" s="607"/>
      <c r="BQ11" s="607"/>
      <c r="BR11" s="607"/>
      <c r="BS11" s="607"/>
      <c r="BT11" s="607"/>
      <c r="BU11" s="607"/>
      <c r="BV11" s="607"/>
      <c r="BW11" s="607"/>
      <c r="BX11" s="607"/>
      <c r="BY11" s="607"/>
      <c r="BZ11" s="607"/>
      <c r="CA11" s="607"/>
      <c r="CB11" s="607"/>
      <c r="CC11" s="607"/>
      <c r="CD11" s="607"/>
      <c r="CE11" s="607"/>
      <c r="CF11" s="607"/>
      <c r="CG11" s="607"/>
      <c r="CH11" s="607"/>
      <c r="CI11" s="607"/>
      <c r="CJ11" s="607"/>
      <c r="CK11" s="607"/>
      <c r="CL11" s="607"/>
      <c r="CM11" s="607"/>
      <c r="CN11" s="607"/>
      <c r="CO11" s="607"/>
      <c r="CP11" s="607"/>
      <c r="CQ11" s="607"/>
      <c r="CR11" s="607"/>
      <c r="CS11" s="607"/>
      <c r="CT11" s="607"/>
      <c r="CU11" s="607"/>
      <c r="CV11" s="607"/>
      <c r="CW11" s="607"/>
      <c r="CX11" s="607"/>
      <c r="CY11" s="607"/>
      <c r="CZ11" s="607"/>
      <c r="DA11" s="607"/>
      <c r="DB11" s="607"/>
      <c r="DC11" s="607"/>
      <c r="DD11" s="607"/>
      <c r="DE11" s="607"/>
      <c r="DF11" s="607"/>
      <c r="DG11" s="607"/>
      <c r="DH11" s="607"/>
      <c r="DI11" s="607"/>
      <c r="DJ11" s="607"/>
      <c r="DK11" s="607"/>
      <c r="DL11" s="607"/>
      <c r="DM11" s="607"/>
      <c r="DN11" s="607"/>
      <c r="DO11" s="607"/>
      <c r="DP11" s="607"/>
      <c r="DQ11" s="607"/>
      <c r="DR11" s="607"/>
      <c r="DS11" s="607"/>
      <c r="DT11" s="607"/>
      <c r="DU11" s="607"/>
      <c r="DV11" s="607"/>
      <c r="DW11" s="607"/>
      <c r="DX11" s="607"/>
    </row>
    <row r="12" spans="1:128" s="742" customFormat="1" ht="13.2">
      <c r="A12" s="1601" t="s">
        <v>387</v>
      </c>
      <c r="B12" s="1485">
        <v>10</v>
      </c>
      <c r="C12" s="1506">
        <v>224</v>
      </c>
      <c r="D12" s="1485">
        <v>232</v>
      </c>
      <c r="E12" s="1503">
        <v>456</v>
      </c>
      <c r="F12" s="1674">
        <v>215</v>
      </c>
      <c r="G12" s="1674">
        <v>216</v>
      </c>
      <c r="H12" s="1675">
        <v>431</v>
      </c>
      <c r="I12" s="1506">
        <v>2</v>
      </c>
      <c r="J12" s="1506">
        <v>7</v>
      </c>
      <c r="K12" s="1503">
        <v>9</v>
      </c>
      <c r="L12" s="1485">
        <v>1</v>
      </c>
      <c r="M12" s="1485"/>
      <c r="N12" s="1488">
        <v>1</v>
      </c>
      <c r="O12" s="607"/>
      <c r="P12" s="1595"/>
      <c r="Q12" s="1595" t="s">
        <v>899</v>
      </c>
      <c r="R12" s="1595">
        <v>774</v>
      </c>
      <c r="S12" s="607">
        <v>1089</v>
      </c>
      <c r="T12" s="607">
        <v>1863</v>
      </c>
      <c r="U12" s="607"/>
      <c r="V12" s="607"/>
      <c r="W12" s="607"/>
      <c r="X12" s="607"/>
      <c r="Y12" s="607"/>
      <c r="Z12" s="607"/>
      <c r="AA12" s="607"/>
      <c r="AB12" s="607"/>
      <c r="AC12" s="607"/>
      <c r="AD12" s="607"/>
      <c r="AE12" s="607"/>
      <c r="AF12" s="607"/>
      <c r="AG12" s="607"/>
      <c r="AH12" s="607"/>
      <c r="AI12" s="607"/>
      <c r="AJ12" s="607"/>
      <c r="AK12" s="607"/>
      <c r="AL12" s="607"/>
      <c r="AM12" s="607"/>
      <c r="AN12" s="607"/>
      <c r="AO12" s="607"/>
      <c r="AP12" s="607"/>
      <c r="AQ12" s="607"/>
      <c r="AR12" s="607"/>
      <c r="AS12" s="607"/>
      <c r="AT12" s="607"/>
      <c r="AU12" s="607"/>
      <c r="AV12" s="607"/>
      <c r="AW12" s="607"/>
      <c r="AX12" s="607"/>
      <c r="AY12" s="607"/>
      <c r="AZ12" s="607"/>
      <c r="BA12" s="607"/>
      <c r="BB12" s="607"/>
      <c r="BC12" s="607"/>
      <c r="BD12" s="607"/>
      <c r="BE12" s="607"/>
      <c r="BF12" s="607"/>
      <c r="BG12" s="607"/>
      <c r="BH12" s="607"/>
      <c r="BI12" s="607"/>
      <c r="BJ12" s="607"/>
      <c r="BK12" s="607"/>
      <c r="BL12" s="607"/>
      <c r="BM12" s="607"/>
      <c r="BN12" s="607"/>
      <c r="BO12" s="607"/>
      <c r="BP12" s="607"/>
      <c r="BQ12" s="607"/>
      <c r="BR12" s="607"/>
      <c r="BS12" s="607"/>
      <c r="BT12" s="607"/>
      <c r="BU12" s="607"/>
      <c r="BV12" s="607"/>
      <c r="BW12" s="607"/>
      <c r="BX12" s="607"/>
      <c r="BY12" s="607"/>
      <c r="BZ12" s="607"/>
      <c r="CA12" s="607"/>
      <c r="CB12" s="607"/>
      <c r="CC12" s="607"/>
      <c r="CD12" s="607"/>
      <c r="CE12" s="607"/>
      <c r="CF12" s="607"/>
      <c r="CG12" s="607"/>
      <c r="CH12" s="607"/>
      <c r="CI12" s="607"/>
      <c r="CJ12" s="607"/>
      <c r="CK12" s="607"/>
      <c r="CL12" s="607"/>
      <c r="CM12" s="607"/>
      <c r="CN12" s="607"/>
      <c r="CO12" s="607"/>
      <c r="CP12" s="607"/>
      <c r="CQ12" s="607"/>
      <c r="CR12" s="607"/>
      <c r="CS12" s="607"/>
      <c r="CT12" s="607"/>
      <c r="CU12" s="607"/>
      <c r="CV12" s="607"/>
      <c r="CW12" s="607"/>
      <c r="CX12" s="607"/>
      <c r="CY12" s="607"/>
      <c r="CZ12" s="607"/>
      <c r="DA12" s="607"/>
      <c r="DB12" s="607"/>
      <c r="DC12" s="607"/>
      <c r="DD12" s="607"/>
      <c r="DE12" s="607"/>
      <c r="DF12" s="607"/>
      <c r="DG12" s="607"/>
      <c r="DH12" s="607"/>
      <c r="DI12" s="607"/>
      <c r="DJ12" s="607"/>
      <c r="DK12" s="607"/>
      <c r="DL12" s="607"/>
      <c r="DM12" s="607"/>
      <c r="DN12" s="607"/>
      <c r="DO12" s="607"/>
      <c r="DP12" s="607"/>
      <c r="DQ12" s="607"/>
      <c r="DR12" s="607"/>
      <c r="DS12" s="607"/>
      <c r="DT12" s="607"/>
      <c r="DU12" s="607"/>
      <c r="DV12" s="607"/>
      <c r="DW12" s="607"/>
      <c r="DX12" s="607"/>
    </row>
    <row r="13" spans="1:128" s="742" customFormat="1" ht="13.2">
      <c r="A13" s="1601" t="s">
        <v>561</v>
      </c>
      <c r="B13" s="1485">
        <v>1</v>
      </c>
      <c r="C13" s="1506">
        <v>31</v>
      </c>
      <c r="D13" s="1485">
        <v>44</v>
      </c>
      <c r="E13" s="1503">
        <v>75</v>
      </c>
      <c r="F13" s="1674">
        <v>31</v>
      </c>
      <c r="G13" s="1674">
        <v>44</v>
      </c>
      <c r="H13" s="1675">
        <v>75</v>
      </c>
      <c r="I13" s="1506">
        <v>1</v>
      </c>
      <c r="J13" s="1506"/>
      <c r="K13" s="1503">
        <v>1</v>
      </c>
      <c r="L13" s="1485"/>
      <c r="M13" s="1485"/>
      <c r="N13" s="1488"/>
      <c r="O13" s="607"/>
      <c r="P13" s="1595"/>
      <c r="Q13" s="1595" t="s">
        <v>900</v>
      </c>
      <c r="R13" s="1595">
        <v>315</v>
      </c>
      <c r="S13" s="607">
        <v>489</v>
      </c>
      <c r="T13" s="607">
        <v>804</v>
      </c>
      <c r="U13" s="607"/>
      <c r="V13" s="607"/>
      <c r="W13" s="607"/>
      <c r="X13" s="607"/>
      <c r="Y13" s="607"/>
      <c r="Z13" s="607"/>
      <c r="AA13" s="607"/>
      <c r="AB13" s="607"/>
      <c r="AC13" s="607"/>
      <c r="AD13" s="607"/>
      <c r="AE13" s="607"/>
      <c r="AF13" s="607"/>
      <c r="AG13" s="607"/>
      <c r="AH13" s="607"/>
      <c r="AI13" s="607"/>
      <c r="AJ13" s="607"/>
      <c r="AK13" s="607"/>
      <c r="AL13" s="607"/>
      <c r="AM13" s="607"/>
      <c r="AN13" s="607"/>
      <c r="AO13" s="607"/>
      <c r="AP13" s="607"/>
      <c r="AQ13" s="607"/>
      <c r="AR13" s="607"/>
      <c r="AS13" s="607"/>
      <c r="AT13" s="607"/>
      <c r="AU13" s="607"/>
      <c r="AV13" s="607"/>
      <c r="AW13" s="607"/>
      <c r="AX13" s="607"/>
      <c r="AY13" s="607"/>
      <c r="AZ13" s="607"/>
      <c r="BA13" s="607"/>
      <c r="BB13" s="607"/>
      <c r="BC13" s="607"/>
      <c r="BD13" s="607"/>
      <c r="BE13" s="607"/>
      <c r="BF13" s="607"/>
      <c r="BG13" s="607"/>
      <c r="BH13" s="607"/>
      <c r="BI13" s="607"/>
      <c r="BJ13" s="607"/>
      <c r="BK13" s="607"/>
      <c r="BL13" s="607"/>
      <c r="BM13" s="607"/>
      <c r="BN13" s="607"/>
      <c r="BO13" s="607"/>
      <c r="BP13" s="607"/>
      <c r="BQ13" s="607"/>
      <c r="BR13" s="607"/>
      <c r="BS13" s="607"/>
      <c r="BT13" s="607"/>
      <c r="BU13" s="607"/>
      <c r="BV13" s="607"/>
      <c r="BW13" s="607"/>
      <c r="BX13" s="607"/>
      <c r="BY13" s="607"/>
      <c r="BZ13" s="607"/>
      <c r="CA13" s="607"/>
      <c r="CB13" s="607"/>
      <c r="CC13" s="607"/>
      <c r="CD13" s="607"/>
      <c r="CE13" s="607"/>
      <c r="CF13" s="607"/>
      <c r="CG13" s="607"/>
      <c r="CH13" s="607"/>
      <c r="CI13" s="607"/>
      <c r="CJ13" s="607"/>
      <c r="CK13" s="607"/>
      <c r="CL13" s="607"/>
      <c r="CM13" s="607"/>
      <c r="CN13" s="607"/>
      <c r="CO13" s="607"/>
      <c r="CP13" s="607"/>
      <c r="CQ13" s="607"/>
      <c r="CR13" s="607"/>
      <c r="CS13" s="607"/>
      <c r="CT13" s="607"/>
      <c r="CU13" s="607"/>
      <c r="CV13" s="607"/>
      <c r="CW13" s="607"/>
      <c r="CX13" s="607"/>
      <c r="CY13" s="607"/>
      <c r="CZ13" s="607"/>
      <c r="DA13" s="607"/>
      <c r="DB13" s="607"/>
      <c r="DC13" s="607"/>
      <c r="DD13" s="607"/>
      <c r="DE13" s="607"/>
      <c r="DF13" s="607"/>
      <c r="DG13" s="607"/>
      <c r="DH13" s="607"/>
      <c r="DI13" s="607"/>
      <c r="DJ13" s="607"/>
      <c r="DK13" s="607"/>
      <c r="DL13" s="607"/>
      <c r="DM13" s="607"/>
      <c r="DN13" s="607"/>
      <c r="DO13" s="607"/>
      <c r="DP13" s="607"/>
      <c r="DQ13" s="607"/>
      <c r="DR13" s="607"/>
      <c r="DS13" s="607"/>
      <c r="DT13" s="607"/>
      <c r="DU13" s="607"/>
      <c r="DV13" s="607"/>
      <c r="DW13" s="607"/>
      <c r="DX13" s="607"/>
    </row>
    <row r="14" spans="1:128" s="742" customFormat="1" ht="13.2">
      <c r="A14" s="1605" t="s">
        <v>755</v>
      </c>
      <c r="B14" s="1676">
        <v>1</v>
      </c>
      <c r="C14" s="1677">
        <v>24</v>
      </c>
      <c r="D14" s="1676">
        <v>62</v>
      </c>
      <c r="E14" s="1678">
        <v>86</v>
      </c>
      <c r="F14" s="1679">
        <v>24</v>
      </c>
      <c r="G14" s="1679">
        <v>62</v>
      </c>
      <c r="H14" s="1680">
        <v>86</v>
      </c>
      <c r="I14" s="1677"/>
      <c r="J14" s="1677">
        <v>1</v>
      </c>
      <c r="K14" s="1678">
        <v>1</v>
      </c>
      <c r="L14" s="1676"/>
      <c r="M14" s="1676"/>
      <c r="N14" s="1681"/>
      <c r="O14" s="607"/>
      <c r="P14" s="1595"/>
      <c r="Q14" s="1595" t="s">
        <v>901</v>
      </c>
      <c r="R14" s="1595">
        <v>339</v>
      </c>
      <c r="S14" s="607">
        <v>465</v>
      </c>
      <c r="T14" s="607">
        <v>804</v>
      </c>
      <c r="U14" s="607"/>
      <c r="V14" s="607"/>
      <c r="W14" s="607"/>
      <c r="X14" s="607"/>
      <c r="Y14" s="607"/>
      <c r="Z14" s="607"/>
      <c r="AA14" s="607"/>
      <c r="AB14" s="607"/>
      <c r="AC14" s="607"/>
      <c r="AD14" s="607"/>
      <c r="AE14" s="607"/>
      <c r="AF14" s="607"/>
      <c r="AG14" s="607"/>
      <c r="AH14" s="607"/>
      <c r="AI14" s="607"/>
      <c r="AJ14" s="607"/>
      <c r="AK14" s="607"/>
      <c r="AL14" s="607"/>
      <c r="AM14" s="607"/>
      <c r="AN14" s="607"/>
      <c r="AO14" s="607"/>
      <c r="AP14" s="607"/>
      <c r="AQ14" s="607"/>
      <c r="AR14" s="607"/>
      <c r="AS14" s="607"/>
      <c r="AT14" s="607"/>
      <c r="AU14" s="607"/>
      <c r="AV14" s="607"/>
      <c r="AW14" s="607"/>
      <c r="AX14" s="607"/>
      <c r="AY14" s="607"/>
      <c r="AZ14" s="607"/>
      <c r="BA14" s="607"/>
      <c r="BB14" s="607"/>
      <c r="BC14" s="607"/>
      <c r="BD14" s="607"/>
      <c r="BE14" s="607"/>
      <c r="BF14" s="607"/>
      <c r="BG14" s="607"/>
      <c r="BH14" s="607"/>
      <c r="BI14" s="607"/>
      <c r="BJ14" s="607"/>
      <c r="BK14" s="607"/>
      <c r="BL14" s="607"/>
      <c r="BM14" s="607"/>
      <c r="BN14" s="607"/>
      <c r="BO14" s="607"/>
      <c r="BP14" s="607"/>
      <c r="BQ14" s="607"/>
      <c r="BR14" s="607"/>
      <c r="BS14" s="607"/>
      <c r="BT14" s="607"/>
      <c r="BU14" s="607"/>
      <c r="BV14" s="607"/>
      <c r="BW14" s="607"/>
      <c r="BX14" s="607"/>
      <c r="BY14" s="607"/>
      <c r="BZ14" s="607"/>
      <c r="CA14" s="607"/>
      <c r="CB14" s="607"/>
      <c r="CC14" s="607"/>
      <c r="CD14" s="607"/>
      <c r="CE14" s="607"/>
      <c r="CF14" s="607"/>
      <c r="CG14" s="607"/>
      <c r="CH14" s="607"/>
      <c r="CI14" s="607"/>
      <c r="CJ14" s="607"/>
      <c r="CK14" s="607"/>
      <c r="CL14" s="607"/>
      <c r="CM14" s="607"/>
      <c r="CN14" s="607"/>
      <c r="CO14" s="607"/>
      <c r="CP14" s="607"/>
      <c r="CQ14" s="607"/>
      <c r="CR14" s="607"/>
      <c r="CS14" s="607"/>
      <c r="CT14" s="607"/>
      <c r="CU14" s="607"/>
      <c r="CV14" s="607"/>
      <c r="CW14" s="607"/>
      <c r="CX14" s="607"/>
      <c r="CY14" s="607"/>
      <c r="CZ14" s="607"/>
      <c r="DA14" s="607"/>
      <c r="DB14" s="607"/>
      <c r="DC14" s="607"/>
      <c r="DD14" s="607"/>
      <c r="DE14" s="607"/>
      <c r="DF14" s="607"/>
      <c r="DG14" s="607"/>
      <c r="DH14" s="607"/>
      <c r="DI14" s="607"/>
      <c r="DJ14" s="607"/>
      <c r="DK14" s="607"/>
      <c r="DL14" s="607"/>
      <c r="DM14" s="607"/>
      <c r="DN14" s="607"/>
      <c r="DO14" s="607"/>
      <c r="DP14" s="607"/>
      <c r="DQ14" s="607"/>
      <c r="DR14" s="607"/>
      <c r="DS14" s="607"/>
      <c r="DT14" s="607"/>
      <c r="DU14" s="607"/>
      <c r="DV14" s="607"/>
      <c r="DW14" s="607"/>
      <c r="DX14" s="607"/>
    </row>
    <row r="15" spans="1:128" s="742" customFormat="1" ht="13.2">
      <c r="A15" s="1612" t="s">
        <v>756</v>
      </c>
      <c r="B15" s="1682">
        <v>73</v>
      </c>
      <c r="C15" s="1682">
        <v>1063</v>
      </c>
      <c r="D15" s="1682">
        <v>1498</v>
      </c>
      <c r="E15" s="1682">
        <v>2561</v>
      </c>
      <c r="F15" s="1682">
        <v>774</v>
      </c>
      <c r="G15" s="1682">
        <v>1089</v>
      </c>
      <c r="H15" s="1682">
        <v>1863</v>
      </c>
      <c r="I15" s="1682">
        <v>29</v>
      </c>
      <c r="J15" s="1682">
        <v>38</v>
      </c>
      <c r="K15" s="1682">
        <v>67</v>
      </c>
      <c r="L15" s="1682">
        <v>4</v>
      </c>
      <c r="M15" s="1682"/>
      <c r="N15" s="1683">
        <v>4</v>
      </c>
      <c r="P15" s="1595"/>
      <c r="Q15" s="1595" t="s">
        <v>902</v>
      </c>
      <c r="R15" s="1730">
        <v>534</v>
      </c>
      <c r="S15" s="1730">
        <v>755</v>
      </c>
      <c r="T15" s="1730">
        <v>1289</v>
      </c>
      <c r="U15" s="607"/>
      <c r="V15" s="607"/>
      <c r="W15" s="607"/>
      <c r="X15" s="607"/>
      <c r="Y15" s="607"/>
      <c r="Z15" s="607"/>
      <c r="AA15" s="607"/>
      <c r="AB15" s="607"/>
      <c r="AC15" s="607"/>
      <c r="AD15" s="607"/>
      <c r="AE15" s="607"/>
      <c r="AF15" s="607"/>
      <c r="AG15" s="607"/>
      <c r="AH15" s="607"/>
      <c r="AI15" s="607"/>
      <c r="AJ15" s="607"/>
      <c r="AK15" s="607"/>
      <c r="AL15" s="607"/>
      <c r="AM15" s="607"/>
      <c r="AN15" s="607"/>
      <c r="AO15" s="607"/>
      <c r="AP15" s="607"/>
      <c r="AQ15" s="607"/>
      <c r="AR15" s="607"/>
      <c r="AS15" s="607"/>
      <c r="AT15" s="607"/>
      <c r="AU15" s="607"/>
      <c r="AV15" s="607"/>
      <c r="AW15" s="607"/>
      <c r="AX15" s="607"/>
      <c r="AY15" s="607"/>
      <c r="AZ15" s="607"/>
      <c r="BA15" s="607"/>
      <c r="BB15" s="607"/>
      <c r="BC15" s="607"/>
      <c r="BD15" s="607"/>
      <c r="BE15" s="607"/>
      <c r="BF15" s="607"/>
      <c r="BG15" s="607"/>
      <c r="BH15" s="607"/>
      <c r="BI15" s="607"/>
      <c r="BJ15" s="607"/>
      <c r="BK15" s="607"/>
      <c r="BL15" s="607"/>
      <c r="BM15" s="607"/>
      <c r="BN15" s="607"/>
      <c r="BO15" s="607"/>
      <c r="BP15" s="607"/>
      <c r="BQ15" s="607"/>
      <c r="BR15" s="607"/>
      <c r="BS15" s="607"/>
      <c r="BT15" s="607"/>
      <c r="BU15" s="607"/>
      <c r="BV15" s="607"/>
      <c r="BW15" s="607"/>
      <c r="BX15" s="607"/>
      <c r="BY15" s="607"/>
      <c r="BZ15" s="607"/>
      <c r="CA15" s="607"/>
      <c r="CB15" s="607"/>
      <c r="CC15" s="607"/>
      <c r="CD15" s="607"/>
      <c r="CE15" s="607"/>
      <c r="CF15" s="607"/>
      <c r="CG15" s="607"/>
      <c r="CH15" s="607"/>
      <c r="CI15" s="607"/>
      <c r="CJ15" s="607"/>
      <c r="CK15" s="607"/>
      <c r="CL15" s="607"/>
      <c r="CM15" s="607"/>
      <c r="CN15" s="607"/>
      <c r="CO15" s="607"/>
      <c r="CP15" s="607"/>
      <c r="CQ15" s="607"/>
      <c r="CR15" s="607"/>
      <c r="CS15" s="607"/>
      <c r="CT15" s="607"/>
      <c r="CU15" s="607"/>
      <c r="CV15" s="607"/>
      <c r="CW15" s="607"/>
      <c r="CX15" s="607"/>
      <c r="CY15" s="607"/>
      <c r="CZ15" s="607"/>
      <c r="DA15" s="607"/>
      <c r="DB15" s="607"/>
      <c r="DC15" s="607"/>
      <c r="DD15" s="607"/>
      <c r="DE15" s="607"/>
      <c r="DF15" s="607"/>
      <c r="DG15" s="607"/>
      <c r="DH15" s="607"/>
      <c r="DI15" s="607"/>
      <c r="DJ15" s="607"/>
      <c r="DK15" s="607"/>
      <c r="DL15" s="607"/>
      <c r="DM15" s="607"/>
      <c r="DN15" s="607"/>
      <c r="DO15" s="607"/>
      <c r="DP15" s="607"/>
      <c r="DQ15" s="607"/>
      <c r="DR15" s="607"/>
      <c r="DS15" s="607"/>
      <c r="DT15" s="607"/>
      <c r="DU15" s="607"/>
      <c r="DV15" s="607"/>
      <c r="DW15" s="607"/>
      <c r="DX15" s="607"/>
    </row>
    <row r="16" spans="1:128" s="742" customFormat="1" ht="13.2">
      <c r="A16" s="1601" t="s">
        <v>170</v>
      </c>
      <c r="B16" s="1684">
        <v>20</v>
      </c>
      <c r="C16" s="1685">
        <v>306</v>
      </c>
      <c r="D16" s="1684">
        <v>447</v>
      </c>
      <c r="E16" s="1686">
        <v>753</v>
      </c>
      <c r="F16" s="1687">
        <v>267</v>
      </c>
      <c r="G16" s="1687">
        <v>385</v>
      </c>
      <c r="H16" s="1688">
        <v>652</v>
      </c>
      <c r="I16" s="1689">
        <v>8</v>
      </c>
      <c r="J16" s="1689">
        <v>11</v>
      </c>
      <c r="K16" s="1690">
        <v>19</v>
      </c>
      <c r="L16" s="1684"/>
      <c r="M16" s="1684">
        <v>1</v>
      </c>
      <c r="N16" s="1691">
        <v>1</v>
      </c>
      <c r="P16" s="1595"/>
      <c r="Q16" s="1595" t="s">
        <v>903</v>
      </c>
      <c r="R16" s="1730">
        <v>74</v>
      </c>
      <c r="S16" s="1731">
        <v>96</v>
      </c>
      <c r="T16" s="1730">
        <v>170</v>
      </c>
      <c r="U16" s="607"/>
      <c r="V16" s="607"/>
      <c r="W16" s="607"/>
      <c r="X16" s="607"/>
      <c r="Y16" s="607"/>
      <c r="Z16" s="607"/>
      <c r="AA16" s="607"/>
      <c r="AB16" s="607"/>
      <c r="AC16" s="607"/>
      <c r="AD16" s="607"/>
      <c r="AE16" s="607"/>
      <c r="AF16" s="607"/>
      <c r="AG16" s="607"/>
      <c r="AH16" s="607"/>
      <c r="AI16" s="607"/>
      <c r="AJ16" s="607"/>
      <c r="AK16" s="607"/>
      <c r="AL16" s="607"/>
      <c r="AM16" s="607"/>
      <c r="AN16" s="607"/>
      <c r="AO16" s="607"/>
      <c r="AP16" s="607"/>
      <c r="AQ16" s="607"/>
      <c r="AR16" s="607"/>
      <c r="AS16" s="607"/>
      <c r="AT16" s="607"/>
      <c r="AU16" s="607"/>
      <c r="AV16" s="607"/>
      <c r="AW16" s="607"/>
      <c r="AX16" s="607"/>
      <c r="AY16" s="607"/>
      <c r="AZ16" s="607"/>
      <c r="BA16" s="607"/>
      <c r="BB16" s="607"/>
      <c r="BC16" s="607"/>
      <c r="BD16" s="607"/>
      <c r="BE16" s="607"/>
      <c r="BF16" s="607"/>
      <c r="BG16" s="607"/>
      <c r="BH16" s="607"/>
      <c r="BI16" s="607"/>
      <c r="BJ16" s="607"/>
      <c r="BK16" s="607"/>
      <c r="BL16" s="607"/>
      <c r="BM16" s="607"/>
      <c r="BN16" s="607"/>
      <c r="BO16" s="607"/>
      <c r="BP16" s="607"/>
      <c r="BQ16" s="607"/>
      <c r="BR16" s="607"/>
      <c r="BS16" s="607"/>
      <c r="BT16" s="607"/>
      <c r="BU16" s="607"/>
      <c r="BV16" s="607"/>
      <c r="BW16" s="607"/>
      <c r="BX16" s="607"/>
      <c r="BY16" s="607"/>
      <c r="BZ16" s="607"/>
      <c r="CA16" s="607"/>
      <c r="CB16" s="607"/>
      <c r="CC16" s="607"/>
      <c r="CD16" s="607"/>
      <c r="CE16" s="607"/>
      <c r="CF16" s="607"/>
      <c r="CG16" s="607"/>
      <c r="CH16" s="607"/>
      <c r="CI16" s="607"/>
      <c r="CJ16" s="607"/>
      <c r="CK16" s="607"/>
      <c r="CL16" s="607"/>
      <c r="CM16" s="607"/>
      <c r="CN16" s="607"/>
      <c r="CO16" s="607"/>
      <c r="CP16" s="607"/>
      <c r="CQ16" s="607"/>
      <c r="CR16" s="607"/>
      <c r="CS16" s="607"/>
      <c r="CT16" s="607"/>
      <c r="CU16" s="607"/>
      <c r="CV16" s="607"/>
      <c r="CW16" s="607"/>
      <c r="CX16" s="607"/>
      <c r="CY16" s="607"/>
      <c r="CZ16" s="607"/>
      <c r="DA16" s="607"/>
      <c r="DB16" s="607"/>
      <c r="DC16" s="607"/>
      <c r="DD16" s="607"/>
      <c r="DE16" s="607"/>
      <c r="DF16" s="607"/>
      <c r="DG16" s="607"/>
      <c r="DH16" s="607"/>
      <c r="DI16" s="607"/>
      <c r="DJ16" s="607"/>
      <c r="DK16" s="607"/>
      <c r="DL16" s="607"/>
      <c r="DM16" s="607"/>
      <c r="DN16" s="607"/>
      <c r="DO16" s="607"/>
      <c r="DP16" s="607"/>
      <c r="DQ16" s="607"/>
      <c r="DR16" s="607"/>
      <c r="DS16" s="607"/>
      <c r="DT16" s="607"/>
      <c r="DU16" s="607"/>
      <c r="DV16" s="607"/>
      <c r="DW16" s="607"/>
      <c r="DX16" s="607"/>
    </row>
    <row r="17" spans="1:20" s="742" customFormat="1" ht="13.2">
      <c r="A17" s="1601" t="s">
        <v>757</v>
      </c>
      <c r="B17" s="1485">
        <v>5</v>
      </c>
      <c r="C17" s="1506">
        <v>63</v>
      </c>
      <c r="D17" s="1485">
        <v>136</v>
      </c>
      <c r="E17" s="1503">
        <v>199</v>
      </c>
      <c r="F17" s="1674">
        <v>60</v>
      </c>
      <c r="G17" s="1674">
        <v>127</v>
      </c>
      <c r="H17" s="1675">
        <v>187</v>
      </c>
      <c r="I17" s="1692">
        <v>1</v>
      </c>
      <c r="J17" s="1692">
        <v>4</v>
      </c>
      <c r="K17" s="1693">
        <v>5</v>
      </c>
      <c r="L17" s="1485"/>
      <c r="M17" s="1485"/>
      <c r="N17" s="1488"/>
      <c r="P17" s="1595"/>
      <c r="Q17" s="1595" t="s">
        <v>904</v>
      </c>
      <c r="R17" s="1595">
        <v>304</v>
      </c>
      <c r="S17" s="742">
        <v>359</v>
      </c>
      <c r="T17" s="742">
        <v>663</v>
      </c>
    </row>
    <row r="18" spans="1:20" s="742" customFormat="1" ht="13.2">
      <c r="A18" s="1612" t="s">
        <v>758</v>
      </c>
      <c r="B18" s="1682">
        <v>25</v>
      </c>
      <c r="C18" s="1682">
        <v>369</v>
      </c>
      <c r="D18" s="1682">
        <v>583</v>
      </c>
      <c r="E18" s="1682">
        <v>952</v>
      </c>
      <c r="F18" s="1682">
        <v>315</v>
      </c>
      <c r="G18" s="1682">
        <v>489</v>
      </c>
      <c r="H18" s="1682">
        <v>804</v>
      </c>
      <c r="I18" s="1682">
        <v>9</v>
      </c>
      <c r="J18" s="1682">
        <v>15</v>
      </c>
      <c r="K18" s="1682">
        <v>24</v>
      </c>
      <c r="L18" s="1682"/>
      <c r="M18" s="1682">
        <v>1</v>
      </c>
      <c r="N18" s="1683">
        <v>1</v>
      </c>
      <c r="P18" s="1595"/>
      <c r="Q18" s="1615" t="s">
        <v>905</v>
      </c>
      <c r="R18" s="1731">
        <v>22</v>
      </c>
      <c r="S18" s="1731">
        <v>46</v>
      </c>
      <c r="T18" s="1731">
        <v>68</v>
      </c>
    </row>
    <row r="19" spans="1:20" s="742" customFormat="1" ht="13.2">
      <c r="A19" s="1628" t="s">
        <v>391</v>
      </c>
      <c r="B19" s="1485">
        <v>1</v>
      </c>
      <c r="C19" s="1506"/>
      <c r="D19" s="1485"/>
      <c r="E19" s="1503"/>
      <c r="F19" s="1674"/>
      <c r="G19" s="1674"/>
      <c r="H19" s="1675"/>
      <c r="I19" s="1692"/>
      <c r="J19" s="1692"/>
      <c r="K19" s="1693"/>
      <c r="L19" s="1485"/>
      <c r="M19" s="1485"/>
      <c r="N19" s="1488"/>
      <c r="P19" s="1595"/>
      <c r="Q19" s="1615" t="s">
        <v>906</v>
      </c>
      <c r="R19" s="1615">
        <v>1052</v>
      </c>
      <c r="S19" s="742">
        <v>955</v>
      </c>
      <c r="T19" s="742">
        <v>2007</v>
      </c>
    </row>
    <row r="20" spans="1:20" s="742" customFormat="1" ht="13.2">
      <c r="A20" s="1612" t="s">
        <v>804</v>
      </c>
      <c r="B20" s="1682">
        <v>1</v>
      </c>
      <c r="C20" s="1682"/>
      <c r="D20" s="1682"/>
      <c r="E20" s="1682"/>
      <c r="F20" s="1682"/>
      <c r="G20" s="1682"/>
      <c r="H20" s="1682"/>
      <c r="I20" s="1682"/>
      <c r="J20" s="1682"/>
      <c r="K20" s="1682"/>
      <c r="L20" s="1682"/>
      <c r="M20" s="1682"/>
      <c r="N20" s="1683"/>
      <c r="P20" s="1595"/>
      <c r="Q20" s="1615"/>
      <c r="R20" s="1615"/>
    </row>
    <row r="21" spans="1:20" s="742" customFormat="1" ht="13.2">
      <c r="A21" s="1601" t="s">
        <v>171</v>
      </c>
      <c r="B21" s="1485">
        <v>22</v>
      </c>
      <c r="C21" s="1506">
        <v>406</v>
      </c>
      <c r="D21" s="1485">
        <v>466</v>
      </c>
      <c r="E21" s="1503">
        <v>872</v>
      </c>
      <c r="F21" s="1674">
        <v>332</v>
      </c>
      <c r="G21" s="1674">
        <v>432</v>
      </c>
      <c r="H21" s="1675">
        <v>764</v>
      </c>
      <c r="I21" s="1692">
        <v>12</v>
      </c>
      <c r="J21" s="1692">
        <v>8</v>
      </c>
      <c r="K21" s="1693">
        <v>20</v>
      </c>
      <c r="L21" s="1485">
        <v>2</v>
      </c>
      <c r="M21" s="1485"/>
      <c r="N21" s="1488">
        <v>2</v>
      </c>
      <c r="P21" s="1595"/>
      <c r="Q21" s="1615"/>
      <c r="R21" s="1615"/>
    </row>
    <row r="22" spans="1:20" s="742" customFormat="1" ht="13.2">
      <c r="A22" s="1601" t="s">
        <v>393</v>
      </c>
      <c r="B22" s="1485">
        <v>1</v>
      </c>
      <c r="C22" s="1506">
        <v>5</v>
      </c>
      <c r="D22" s="1485">
        <v>27</v>
      </c>
      <c r="E22" s="1503">
        <v>32</v>
      </c>
      <c r="F22" s="1674">
        <v>5</v>
      </c>
      <c r="G22" s="1674">
        <v>27</v>
      </c>
      <c r="H22" s="1675">
        <v>32</v>
      </c>
      <c r="I22" s="1692"/>
      <c r="J22" s="1692">
        <v>1</v>
      </c>
      <c r="K22" s="1693">
        <v>1</v>
      </c>
      <c r="L22" s="1485"/>
      <c r="M22" s="1485"/>
      <c r="N22" s="1488"/>
      <c r="P22" s="1595"/>
      <c r="Q22" s="1615"/>
      <c r="R22" s="1615"/>
    </row>
    <row r="23" spans="1:20" s="742" customFormat="1" ht="13.2">
      <c r="A23" s="1627" t="s">
        <v>394</v>
      </c>
      <c r="B23" s="1485">
        <v>1</v>
      </c>
      <c r="C23" s="1506">
        <v>3</v>
      </c>
      <c r="D23" s="1485">
        <v>12</v>
      </c>
      <c r="E23" s="1503">
        <v>15</v>
      </c>
      <c r="F23" s="1674">
        <v>3</v>
      </c>
      <c r="G23" s="1674">
        <v>12</v>
      </c>
      <c r="H23" s="1675">
        <v>15</v>
      </c>
      <c r="I23" s="1692"/>
      <c r="J23" s="1692">
        <v>1</v>
      </c>
      <c r="K23" s="1693">
        <v>1</v>
      </c>
      <c r="L23" s="1485"/>
      <c r="M23" s="1485"/>
      <c r="N23" s="1488"/>
      <c r="P23" s="1595"/>
      <c r="Q23" s="1615"/>
      <c r="R23" s="1615"/>
    </row>
    <row r="24" spans="1:20" s="742" customFormat="1" ht="13.2">
      <c r="A24" s="1612" t="s">
        <v>759</v>
      </c>
      <c r="B24" s="1682">
        <v>24</v>
      </c>
      <c r="C24" s="1694">
        <v>414</v>
      </c>
      <c r="D24" s="1682">
        <v>505</v>
      </c>
      <c r="E24" s="1694">
        <v>919</v>
      </c>
      <c r="F24" s="1695">
        <v>339</v>
      </c>
      <c r="G24" s="1695">
        <v>465</v>
      </c>
      <c r="H24" s="1695">
        <v>804</v>
      </c>
      <c r="I24" s="1696">
        <v>12</v>
      </c>
      <c r="J24" s="1696">
        <v>10</v>
      </c>
      <c r="K24" s="1696">
        <v>22</v>
      </c>
      <c r="L24" s="1682">
        <v>2</v>
      </c>
      <c r="M24" s="1682"/>
      <c r="N24" s="1683">
        <v>2</v>
      </c>
      <c r="P24" s="1595"/>
      <c r="Q24" s="1615"/>
      <c r="R24" s="1615"/>
    </row>
    <row r="25" spans="1:20" s="742" customFormat="1" ht="13.2">
      <c r="A25" s="1601" t="s">
        <v>172</v>
      </c>
      <c r="B25" s="1485">
        <v>28</v>
      </c>
      <c r="C25" s="1506">
        <v>497</v>
      </c>
      <c r="D25" s="1485">
        <v>690</v>
      </c>
      <c r="E25" s="1503">
        <v>1187</v>
      </c>
      <c r="F25" s="1674">
        <v>382</v>
      </c>
      <c r="G25" s="1674">
        <v>558</v>
      </c>
      <c r="H25" s="1675">
        <v>940</v>
      </c>
      <c r="I25" s="1692">
        <v>9</v>
      </c>
      <c r="J25" s="1692">
        <v>14</v>
      </c>
      <c r="K25" s="1693">
        <v>23</v>
      </c>
      <c r="L25" s="1485">
        <v>1</v>
      </c>
      <c r="M25" s="1485">
        <v>4</v>
      </c>
      <c r="N25" s="1488">
        <v>5</v>
      </c>
      <c r="P25" s="1595"/>
      <c r="Q25" s="1615"/>
      <c r="R25" s="1615"/>
    </row>
    <row r="26" spans="1:20" s="742" customFormat="1" ht="13.2">
      <c r="A26" s="1601" t="s">
        <v>396</v>
      </c>
      <c r="B26" s="1485">
        <v>6</v>
      </c>
      <c r="C26" s="1506">
        <v>132</v>
      </c>
      <c r="D26" s="1485">
        <v>162</v>
      </c>
      <c r="E26" s="1503">
        <v>294</v>
      </c>
      <c r="F26" s="1674">
        <v>130</v>
      </c>
      <c r="G26" s="1674">
        <v>161</v>
      </c>
      <c r="H26" s="1675">
        <v>291</v>
      </c>
      <c r="I26" s="1692"/>
      <c r="J26" s="1692">
        <v>5</v>
      </c>
      <c r="K26" s="1693">
        <v>5</v>
      </c>
      <c r="L26" s="1485"/>
      <c r="M26" s="1485"/>
      <c r="N26" s="1488"/>
      <c r="P26" s="1595"/>
      <c r="Q26" s="1615"/>
      <c r="R26" s="1615"/>
    </row>
    <row r="27" spans="1:20" s="742" customFormat="1" ht="13.2">
      <c r="A27" s="1628" t="s">
        <v>397</v>
      </c>
      <c r="B27" s="1502"/>
      <c r="C27" s="1501"/>
      <c r="D27" s="1502"/>
      <c r="E27" s="1509"/>
      <c r="F27" s="1602"/>
      <c r="G27" s="1602"/>
      <c r="H27" s="1603"/>
      <c r="I27" s="1507"/>
      <c r="J27" s="1507"/>
      <c r="K27" s="1508"/>
      <c r="L27" s="1502"/>
      <c r="M27" s="1502"/>
      <c r="N27" s="1604"/>
      <c r="O27" s="1615"/>
      <c r="P27" s="1595"/>
      <c r="Q27" s="1615"/>
      <c r="R27" s="1615"/>
    </row>
    <row r="28" spans="1:20" s="742" customFormat="1" ht="13.2">
      <c r="A28" s="1627" t="s">
        <v>562</v>
      </c>
      <c r="B28" s="1485">
        <v>4</v>
      </c>
      <c r="C28" s="1506">
        <v>41</v>
      </c>
      <c r="D28" s="1485">
        <v>58</v>
      </c>
      <c r="E28" s="1503">
        <v>99</v>
      </c>
      <c r="F28" s="1674">
        <v>41</v>
      </c>
      <c r="G28" s="1674">
        <v>58</v>
      </c>
      <c r="H28" s="1675">
        <v>99</v>
      </c>
      <c r="I28" s="1692">
        <v>1</v>
      </c>
      <c r="J28" s="1692">
        <v>3</v>
      </c>
      <c r="K28" s="1693">
        <v>4</v>
      </c>
      <c r="L28" s="1485"/>
      <c r="M28" s="1485"/>
      <c r="N28" s="1488"/>
      <c r="P28" s="1595"/>
      <c r="Q28" s="1615"/>
      <c r="R28" s="1615"/>
    </row>
    <row r="29" spans="1:20" s="742" customFormat="1" ht="13.2">
      <c r="A29" s="1612" t="s">
        <v>760</v>
      </c>
      <c r="B29" s="1682">
        <v>38</v>
      </c>
      <c r="C29" s="1682">
        <v>670</v>
      </c>
      <c r="D29" s="1682">
        <v>910</v>
      </c>
      <c r="E29" s="1682">
        <v>1580</v>
      </c>
      <c r="F29" s="1682">
        <v>534</v>
      </c>
      <c r="G29" s="1682">
        <v>755</v>
      </c>
      <c r="H29" s="1682">
        <v>1289</v>
      </c>
      <c r="I29" s="1682">
        <v>10</v>
      </c>
      <c r="J29" s="1682">
        <v>22</v>
      </c>
      <c r="K29" s="1682">
        <v>32</v>
      </c>
      <c r="L29" s="1682">
        <v>1</v>
      </c>
      <c r="M29" s="1682">
        <v>4</v>
      </c>
      <c r="N29" s="1683">
        <v>5</v>
      </c>
      <c r="P29" s="1595"/>
      <c r="Q29" s="1615"/>
      <c r="R29" s="1615"/>
    </row>
    <row r="30" spans="1:20" s="742" customFormat="1" ht="13.2">
      <c r="A30" s="1601" t="s">
        <v>173</v>
      </c>
      <c r="B30" s="1485">
        <v>4</v>
      </c>
      <c r="C30" s="1506">
        <v>74</v>
      </c>
      <c r="D30" s="1485">
        <v>96</v>
      </c>
      <c r="E30" s="1503">
        <v>170</v>
      </c>
      <c r="F30" s="1674">
        <v>74</v>
      </c>
      <c r="G30" s="1674">
        <v>96</v>
      </c>
      <c r="H30" s="1675">
        <v>170</v>
      </c>
      <c r="I30" s="1692">
        <v>1</v>
      </c>
      <c r="J30" s="1692">
        <v>2</v>
      </c>
      <c r="K30" s="1693">
        <v>3</v>
      </c>
      <c r="L30" s="1485">
        <v>1</v>
      </c>
      <c r="M30" s="1485"/>
      <c r="N30" s="1488">
        <v>1</v>
      </c>
      <c r="P30" s="1595"/>
      <c r="Q30" s="1615"/>
      <c r="R30" s="1615"/>
    </row>
    <row r="31" spans="1:20" s="742" customFormat="1" ht="13.2">
      <c r="A31" s="1612" t="s">
        <v>761</v>
      </c>
      <c r="B31" s="1682">
        <v>4</v>
      </c>
      <c r="C31" s="1694">
        <v>74</v>
      </c>
      <c r="D31" s="1682">
        <v>96</v>
      </c>
      <c r="E31" s="1694">
        <v>170</v>
      </c>
      <c r="F31" s="1695">
        <v>74</v>
      </c>
      <c r="G31" s="1695">
        <v>96</v>
      </c>
      <c r="H31" s="1695">
        <v>170</v>
      </c>
      <c r="I31" s="1696">
        <v>1</v>
      </c>
      <c r="J31" s="1696">
        <v>2</v>
      </c>
      <c r="K31" s="1696">
        <v>3</v>
      </c>
      <c r="L31" s="1682">
        <v>1</v>
      </c>
      <c r="M31" s="1682"/>
      <c r="N31" s="1683">
        <v>1</v>
      </c>
      <c r="P31" s="1595"/>
      <c r="Q31" s="1615"/>
      <c r="R31" s="1615"/>
    </row>
    <row r="32" spans="1:20" s="742" customFormat="1" ht="13.2">
      <c r="A32" s="1601" t="s">
        <v>401</v>
      </c>
      <c r="B32" s="1485">
        <v>8</v>
      </c>
      <c r="C32" s="1506">
        <v>91</v>
      </c>
      <c r="D32" s="1485">
        <v>135</v>
      </c>
      <c r="E32" s="1503">
        <v>226</v>
      </c>
      <c r="F32" s="1674">
        <v>81</v>
      </c>
      <c r="G32" s="1674">
        <v>112</v>
      </c>
      <c r="H32" s="1675">
        <v>193</v>
      </c>
      <c r="I32" s="1692">
        <v>3</v>
      </c>
      <c r="J32" s="1692">
        <v>5</v>
      </c>
      <c r="K32" s="1693">
        <v>8</v>
      </c>
      <c r="L32" s="1485"/>
      <c r="M32" s="1485"/>
      <c r="N32" s="1488"/>
      <c r="P32" s="1595"/>
      <c r="Q32" s="1615"/>
      <c r="R32" s="1615"/>
    </row>
    <row r="33" spans="1:20" s="742" customFormat="1" ht="13.2">
      <c r="A33" s="1601" t="s">
        <v>402</v>
      </c>
      <c r="B33" s="1485">
        <v>12</v>
      </c>
      <c r="C33" s="1506">
        <v>199</v>
      </c>
      <c r="D33" s="1485">
        <v>196</v>
      </c>
      <c r="E33" s="1503">
        <v>395</v>
      </c>
      <c r="F33" s="1674">
        <v>187</v>
      </c>
      <c r="G33" s="1674">
        <v>183</v>
      </c>
      <c r="H33" s="1675">
        <v>370</v>
      </c>
      <c r="I33" s="1692">
        <v>3</v>
      </c>
      <c r="J33" s="1692">
        <v>7</v>
      </c>
      <c r="K33" s="1693">
        <v>10</v>
      </c>
      <c r="L33" s="1485">
        <v>1</v>
      </c>
      <c r="M33" s="1485"/>
      <c r="N33" s="1488">
        <v>1</v>
      </c>
      <c r="P33" s="1595"/>
      <c r="Q33" s="1615"/>
      <c r="R33" s="1615"/>
    </row>
    <row r="34" spans="1:20" s="742" customFormat="1" ht="13.2">
      <c r="A34" s="1601" t="s">
        <v>805</v>
      </c>
      <c r="B34" s="1485">
        <v>2</v>
      </c>
      <c r="C34" s="1506">
        <v>34</v>
      </c>
      <c r="D34" s="1485">
        <v>44</v>
      </c>
      <c r="E34" s="1503">
        <v>78</v>
      </c>
      <c r="F34" s="1674">
        <v>33</v>
      </c>
      <c r="G34" s="1674">
        <v>43</v>
      </c>
      <c r="H34" s="1675">
        <v>76</v>
      </c>
      <c r="I34" s="1692">
        <v>1</v>
      </c>
      <c r="J34" s="1692">
        <v>1</v>
      </c>
      <c r="K34" s="1693">
        <v>2</v>
      </c>
      <c r="L34" s="1485"/>
      <c r="M34" s="1485"/>
      <c r="N34" s="1488"/>
      <c r="P34" s="1595"/>
      <c r="Q34" s="1615"/>
      <c r="R34" s="1615"/>
    </row>
    <row r="35" spans="1:20" s="742" customFormat="1" ht="13.2">
      <c r="A35" s="1601" t="s">
        <v>806</v>
      </c>
      <c r="B35" s="1485">
        <v>1</v>
      </c>
      <c r="C35" s="1506">
        <v>3</v>
      </c>
      <c r="D35" s="1485">
        <v>27</v>
      </c>
      <c r="E35" s="1503">
        <v>30</v>
      </c>
      <c r="F35" s="1674">
        <v>3</v>
      </c>
      <c r="G35" s="1674">
        <v>27</v>
      </c>
      <c r="H35" s="1675">
        <v>30</v>
      </c>
      <c r="I35" s="1692"/>
      <c r="J35" s="1692">
        <v>1</v>
      </c>
      <c r="K35" s="1693">
        <v>1</v>
      </c>
      <c r="L35" s="1485"/>
      <c r="M35" s="1485"/>
      <c r="N35" s="1488"/>
      <c r="P35" s="1595"/>
      <c r="Q35" s="1615"/>
      <c r="R35" s="1615"/>
    </row>
    <row r="36" spans="1:20" s="742" customFormat="1" ht="13.2">
      <c r="A36" s="1612" t="s">
        <v>762</v>
      </c>
      <c r="B36" s="1682">
        <v>23</v>
      </c>
      <c r="C36" s="1694">
        <v>327</v>
      </c>
      <c r="D36" s="1682">
        <v>402</v>
      </c>
      <c r="E36" s="1694">
        <v>729</v>
      </c>
      <c r="F36" s="1695">
        <v>304</v>
      </c>
      <c r="G36" s="1695">
        <v>359</v>
      </c>
      <c r="H36" s="1695">
        <v>663</v>
      </c>
      <c r="I36" s="1696">
        <v>7</v>
      </c>
      <c r="J36" s="1696">
        <v>14</v>
      </c>
      <c r="K36" s="1696">
        <v>21</v>
      </c>
      <c r="L36" s="1682">
        <v>1</v>
      </c>
      <c r="M36" s="1682"/>
      <c r="N36" s="1683">
        <v>1</v>
      </c>
      <c r="P36" s="1595"/>
      <c r="Q36" s="1615"/>
      <c r="R36" s="1615"/>
    </row>
    <row r="37" spans="1:20" s="742" customFormat="1" ht="13.2">
      <c r="A37" s="1627" t="s">
        <v>406</v>
      </c>
      <c r="B37" s="1485">
        <v>3</v>
      </c>
      <c r="C37" s="1506">
        <v>22</v>
      </c>
      <c r="D37" s="1485">
        <v>46</v>
      </c>
      <c r="E37" s="1503">
        <v>68</v>
      </c>
      <c r="F37" s="1674">
        <v>22</v>
      </c>
      <c r="G37" s="1674">
        <v>46</v>
      </c>
      <c r="H37" s="1675">
        <v>68</v>
      </c>
      <c r="I37" s="1692">
        <v>1</v>
      </c>
      <c r="J37" s="1692">
        <v>1</v>
      </c>
      <c r="K37" s="1693">
        <v>2</v>
      </c>
      <c r="L37" s="1485"/>
      <c r="M37" s="1485"/>
      <c r="N37" s="1488"/>
      <c r="P37" s="1595"/>
      <c r="Q37" s="1615"/>
      <c r="R37" s="1615"/>
    </row>
    <row r="38" spans="1:20" s="742" customFormat="1" ht="13.2">
      <c r="A38" s="1612" t="s">
        <v>763</v>
      </c>
      <c r="B38" s="1682">
        <v>3</v>
      </c>
      <c r="C38" s="1694">
        <v>22</v>
      </c>
      <c r="D38" s="1682">
        <v>46</v>
      </c>
      <c r="E38" s="1694">
        <v>68</v>
      </c>
      <c r="F38" s="1695">
        <v>22</v>
      </c>
      <c r="G38" s="1695">
        <v>46</v>
      </c>
      <c r="H38" s="1695">
        <v>68</v>
      </c>
      <c r="I38" s="1696">
        <v>1</v>
      </c>
      <c r="J38" s="1696">
        <v>1</v>
      </c>
      <c r="K38" s="1696">
        <v>2</v>
      </c>
      <c r="L38" s="1682"/>
      <c r="M38" s="1682"/>
      <c r="N38" s="1683"/>
      <c r="P38" s="1595"/>
      <c r="Q38" s="1615"/>
      <c r="R38" s="1615"/>
    </row>
    <row r="39" spans="1:20" s="742" customFormat="1" ht="13.2">
      <c r="A39" s="1601" t="s">
        <v>764</v>
      </c>
      <c r="B39" s="1485">
        <v>24</v>
      </c>
      <c r="C39" s="1506">
        <v>536</v>
      </c>
      <c r="D39" s="1485">
        <v>440</v>
      </c>
      <c r="E39" s="1503">
        <v>976</v>
      </c>
      <c r="F39" s="1674">
        <v>431</v>
      </c>
      <c r="G39" s="1674">
        <v>359</v>
      </c>
      <c r="H39" s="1675">
        <v>790</v>
      </c>
      <c r="I39" s="1692">
        <v>10</v>
      </c>
      <c r="J39" s="1692">
        <v>12</v>
      </c>
      <c r="K39" s="1693">
        <v>22</v>
      </c>
      <c r="L39" s="1485"/>
      <c r="M39" s="1485">
        <v>1</v>
      </c>
      <c r="N39" s="1488">
        <v>1</v>
      </c>
      <c r="P39" s="1595"/>
      <c r="Q39" s="1615"/>
      <c r="R39" s="1615"/>
    </row>
    <row r="40" spans="1:20" s="742" customFormat="1" ht="13.2">
      <c r="A40" s="1601" t="s">
        <v>408</v>
      </c>
      <c r="B40" s="1485">
        <v>30</v>
      </c>
      <c r="C40" s="1506">
        <v>637</v>
      </c>
      <c r="D40" s="1485">
        <v>537</v>
      </c>
      <c r="E40" s="1503">
        <v>1174</v>
      </c>
      <c r="F40" s="1674">
        <v>521</v>
      </c>
      <c r="G40" s="1674">
        <v>469</v>
      </c>
      <c r="H40" s="1675">
        <v>990</v>
      </c>
      <c r="I40" s="1692">
        <v>16</v>
      </c>
      <c r="J40" s="1692">
        <v>12</v>
      </c>
      <c r="K40" s="1693">
        <v>28</v>
      </c>
      <c r="L40" s="1485"/>
      <c r="M40" s="1485">
        <v>2</v>
      </c>
      <c r="N40" s="1488">
        <v>2</v>
      </c>
      <c r="P40" s="1595"/>
      <c r="Q40" s="1615"/>
      <c r="R40" s="1615"/>
    </row>
    <row r="41" spans="1:20" s="742" customFormat="1" ht="13.2">
      <c r="A41" s="1601" t="s">
        <v>409</v>
      </c>
      <c r="B41" s="1485">
        <v>15</v>
      </c>
      <c r="C41" s="1506">
        <v>229</v>
      </c>
      <c r="D41" s="1485">
        <v>251</v>
      </c>
      <c r="E41" s="1503">
        <v>480</v>
      </c>
      <c r="F41" s="1674">
        <v>197</v>
      </c>
      <c r="G41" s="1674">
        <v>208</v>
      </c>
      <c r="H41" s="1675">
        <v>405</v>
      </c>
      <c r="I41" s="1692">
        <v>7</v>
      </c>
      <c r="J41" s="1692">
        <v>6</v>
      </c>
      <c r="K41" s="1693">
        <v>13</v>
      </c>
      <c r="L41" s="1485"/>
      <c r="M41" s="1485">
        <v>1</v>
      </c>
      <c r="N41" s="1488">
        <v>1</v>
      </c>
      <c r="P41" s="1595"/>
      <c r="Q41" s="1615"/>
      <c r="R41" s="1615"/>
    </row>
    <row r="42" spans="1:20" s="742" customFormat="1" ht="13.2">
      <c r="A42" s="1601" t="s">
        <v>765</v>
      </c>
      <c r="B42" s="1485">
        <v>8</v>
      </c>
      <c r="C42" s="1506">
        <v>202</v>
      </c>
      <c r="D42" s="1485">
        <v>187</v>
      </c>
      <c r="E42" s="1503">
        <v>389</v>
      </c>
      <c r="F42" s="1674">
        <v>200</v>
      </c>
      <c r="G42" s="1674">
        <v>180</v>
      </c>
      <c r="H42" s="1675">
        <v>380</v>
      </c>
      <c r="I42" s="1692">
        <v>3</v>
      </c>
      <c r="J42" s="1692">
        <v>4</v>
      </c>
      <c r="K42" s="1693">
        <v>7</v>
      </c>
      <c r="L42" s="1485">
        <v>1</v>
      </c>
      <c r="M42" s="1485"/>
      <c r="N42" s="1488">
        <v>1</v>
      </c>
      <c r="P42" s="1595"/>
      <c r="Q42" s="1615"/>
      <c r="R42" s="1615"/>
    </row>
    <row r="43" spans="1:20" s="742" customFormat="1" ht="13.2">
      <c r="A43" s="1601" t="s">
        <v>411</v>
      </c>
      <c r="B43" s="1485">
        <v>3</v>
      </c>
      <c r="C43" s="1506">
        <v>21</v>
      </c>
      <c r="D43" s="1485">
        <v>39</v>
      </c>
      <c r="E43" s="1503">
        <v>60</v>
      </c>
      <c r="F43" s="1674">
        <v>21</v>
      </c>
      <c r="G43" s="1674">
        <v>39</v>
      </c>
      <c r="H43" s="1675">
        <v>60</v>
      </c>
      <c r="I43" s="1692"/>
      <c r="J43" s="1692">
        <v>3</v>
      </c>
      <c r="K43" s="1693">
        <v>3</v>
      </c>
      <c r="L43" s="1485"/>
      <c r="M43" s="1485"/>
      <c r="N43" s="1488"/>
      <c r="P43" s="1595"/>
      <c r="Q43" s="1615"/>
      <c r="R43" s="1615"/>
    </row>
    <row r="44" spans="1:20" s="742" customFormat="1" ht="13.2">
      <c r="A44" s="1612" t="s">
        <v>767</v>
      </c>
      <c r="B44" s="1682">
        <v>80</v>
      </c>
      <c r="C44" s="1694">
        <v>1625</v>
      </c>
      <c r="D44" s="1682">
        <v>1454</v>
      </c>
      <c r="E44" s="1694">
        <v>3079</v>
      </c>
      <c r="F44" s="1695">
        <v>1052</v>
      </c>
      <c r="G44" s="1695">
        <v>955</v>
      </c>
      <c r="H44" s="1695">
        <v>2007</v>
      </c>
      <c r="I44" s="1696">
        <v>36</v>
      </c>
      <c r="J44" s="1696">
        <v>37</v>
      </c>
      <c r="K44" s="1696">
        <v>73</v>
      </c>
      <c r="L44" s="1682">
        <v>1</v>
      </c>
      <c r="M44" s="1682">
        <v>4</v>
      </c>
      <c r="N44" s="1683">
        <v>5</v>
      </c>
      <c r="P44" s="1595"/>
      <c r="Q44" s="1615" t="s">
        <v>907</v>
      </c>
      <c r="R44" s="1731">
        <v>325</v>
      </c>
      <c r="S44" s="1731">
        <v>304</v>
      </c>
      <c r="T44" s="1731">
        <v>629</v>
      </c>
    </row>
    <row r="45" spans="1:20" s="742" customFormat="1" ht="13.2">
      <c r="A45" s="1601" t="s">
        <v>175</v>
      </c>
      <c r="B45" s="1485">
        <v>21</v>
      </c>
      <c r="C45" s="1506">
        <v>366</v>
      </c>
      <c r="D45" s="1485">
        <v>351</v>
      </c>
      <c r="E45" s="1503">
        <v>717</v>
      </c>
      <c r="F45" s="1674">
        <v>325</v>
      </c>
      <c r="G45" s="1674">
        <v>304</v>
      </c>
      <c r="H45" s="1675">
        <v>629</v>
      </c>
      <c r="I45" s="1692">
        <v>7</v>
      </c>
      <c r="J45" s="1692">
        <v>11</v>
      </c>
      <c r="K45" s="1693">
        <v>18</v>
      </c>
      <c r="L45" s="1485">
        <v>1</v>
      </c>
      <c r="M45" s="1485">
        <v>1</v>
      </c>
      <c r="N45" s="1488">
        <v>2</v>
      </c>
      <c r="P45" s="1595"/>
      <c r="Q45" s="1615" t="s">
        <v>908</v>
      </c>
      <c r="R45" s="1615">
        <v>871</v>
      </c>
      <c r="S45" s="742">
        <v>1222</v>
      </c>
      <c r="T45" s="742">
        <v>2093</v>
      </c>
    </row>
    <row r="46" spans="1:20" s="742" customFormat="1" ht="13.2">
      <c r="A46" s="1612" t="s">
        <v>768</v>
      </c>
      <c r="B46" s="1682">
        <v>21</v>
      </c>
      <c r="C46" s="1694">
        <v>366</v>
      </c>
      <c r="D46" s="1682">
        <v>351</v>
      </c>
      <c r="E46" s="1694">
        <v>717</v>
      </c>
      <c r="F46" s="1695">
        <v>325</v>
      </c>
      <c r="G46" s="1695">
        <v>304</v>
      </c>
      <c r="H46" s="1695">
        <v>629</v>
      </c>
      <c r="I46" s="1696">
        <v>7</v>
      </c>
      <c r="J46" s="1696">
        <v>11</v>
      </c>
      <c r="K46" s="1696">
        <v>18</v>
      </c>
      <c r="L46" s="1682">
        <v>1</v>
      </c>
      <c r="M46" s="1682">
        <v>1</v>
      </c>
      <c r="N46" s="1683">
        <v>2</v>
      </c>
      <c r="P46" s="1595"/>
      <c r="Q46" s="1615" t="s">
        <v>909</v>
      </c>
      <c r="R46" s="1731">
        <v>77</v>
      </c>
      <c r="S46" s="1731">
        <v>92</v>
      </c>
      <c r="T46" s="1731">
        <v>169</v>
      </c>
    </row>
    <row r="47" spans="1:20" s="742" customFormat="1" ht="13.2">
      <c r="A47" s="1601" t="s">
        <v>415</v>
      </c>
      <c r="B47" s="1485">
        <v>13</v>
      </c>
      <c r="C47" s="1506">
        <v>165</v>
      </c>
      <c r="D47" s="1485">
        <v>468</v>
      </c>
      <c r="E47" s="1503">
        <v>633</v>
      </c>
      <c r="F47" s="1674">
        <v>154</v>
      </c>
      <c r="G47" s="1674">
        <v>438</v>
      </c>
      <c r="H47" s="1675">
        <v>592</v>
      </c>
      <c r="I47" s="1692">
        <v>3</v>
      </c>
      <c r="J47" s="1692">
        <v>9</v>
      </c>
      <c r="K47" s="1693">
        <v>12</v>
      </c>
      <c r="L47" s="1485">
        <v>1</v>
      </c>
      <c r="M47" s="1485"/>
      <c r="N47" s="1488">
        <v>1</v>
      </c>
      <c r="P47" s="1595"/>
      <c r="Q47" s="1615" t="s">
        <v>910</v>
      </c>
      <c r="R47" s="1615">
        <v>854</v>
      </c>
      <c r="S47" s="742">
        <v>995</v>
      </c>
      <c r="T47" s="742">
        <v>1849</v>
      </c>
    </row>
    <row r="48" spans="1:20" s="742" customFormat="1" ht="13.2">
      <c r="A48" s="1601" t="s">
        <v>416</v>
      </c>
      <c r="B48" s="1485">
        <v>14</v>
      </c>
      <c r="C48" s="1506">
        <v>259</v>
      </c>
      <c r="D48" s="1485">
        <v>336</v>
      </c>
      <c r="E48" s="1503">
        <v>595</v>
      </c>
      <c r="F48" s="1674">
        <v>218</v>
      </c>
      <c r="G48" s="1674">
        <v>278</v>
      </c>
      <c r="H48" s="1675">
        <v>496</v>
      </c>
      <c r="I48" s="1692">
        <v>6</v>
      </c>
      <c r="J48" s="1692">
        <v>6</v>
      </c>
      <c r="K48" s="1693">
        <v>12</v>
      </c>
      <c r="L48" s="1485">
        <v>2</v>
      </c>
      <c r="M48" s="1485"/>
      <c r="N48" s="1488">
        <v>2</v>
      </c>
      <c r="P48" s="1595"/>
      <c r="Q48" s="1615" t="s">
        <v>911</v>
      </c>
      <c r="R48" s="1615">
        <v>94</v>
      </c>
      <c r="S48" s="742">
        <v>191</v>
      </c>
      <c r="T48" s="742">
        <v>285</v>
      </c>
    </row>
    <row r="49" spans="1:21" s="742" customFormat="1" ht="13.2">
      <c r="A49" s="1601" t="s">
        <v>417</v>
      </c>
      <c r="B49" s="1485">
        <v>11</v>
      </c>
      <c r="C49" s="1506">
        <v>331</v>
      </c>
      <c r="D49" s="1485">
        <v>125</v>
      </c>
      <c r="E49" s="1503">
        <v>456</v>
      </c>
      <c r="F49" s="1674">
        <v>250</v>
      </c>
      <c r="G49" s="1674">
        <v>103</v>
      </c>
      <c r="H49" s="1675">
        <v>353</v>
      </c>
      <c r="I49" s="1692">
        <v>4</v>
      </c>
      <c r="J49" s="1692">
        <v>6</v>
      </c>
      <c r="K49" s="1693">
        <v>10</v>
      </c>
      <c r="L49" s="1485">
        <v>1</v>
      </c>
      <c r="M49" s="1485"/>
      <c r="N49" s="1488">
        <v>1</v>
      </c>
      <c r="P49" s="1595"/>
      <c r="Q49" s="1615" t="s">
        <v>912</v>
      </c>
      <c r="R49" s="1615">
        <v>1095</v>
      </c>
      <c r="S49" s="742">
        <v>1302</v>
      </c>
      <c r="T49" s="742">
        <v>2397</v>
      </c>
    </row>
    <row r="50" spans="1:21" s="742" customFormat="1" ht="13.2">
      <c r="A50" s="1601" t="s">
        <v>579</v>
      </c>
      <c r="B50" s="1485">
        <v>6</v>
      </c>
      <c r="C50" s="1506">
        <v>38</v>
      </c>
      <c r="D50" s="1485">
        <v>194</v>
      </c>
      <c r="E50" s="1503">
        <v>232</v>
      </c>
      <c r="F50" s="1674">
        <v>35</v>
      </c>
      <c r="G50" s="1674">
        <v>175</v>
      </c>
      <c r="H50" s="1675">
        <v>210</v>
      </c>
      <c r="I50" s="1692">
        <v>1</v>
      </c>
      <c r="J50" s="1692">
        <v>4</v>
      </c>
      <c r="K50" s="1693">
        <v>5</v>
      </c>
      <c r="L50" s="1485">
        <v>1</v>
      </c>
      <c r="M50" s="1485"/>
      <c r="N50" s="1488">
        <v>1</v>
      </c>
      <c r="P50" s="1595"/>
      <c r="Q50" s="1615" t="s">
        <v>913</v>
      </c>
      <c r="R50" s="1615">
        <v>1063</v>
      </c>
      <c r="S50" s="742">
        <v>1023</v>
      </c>
      <c r="T50" s="742">
        <v>2086</v>
      </c>
    </row>
    <row r="51" spans="1:21" s="742" customFormat="1" ht="13.2">
      <c r="A51" s="1627" t="s">
        <v>418</v>
      </c>
      <c r="B51" s="1485">
        <v>16</v>
      </c>
      <c r="C51" s="1506">
        <v>266</v>
      </c>
      <c r="D51" s="1485">
        <v>416</v>
      </c>
      <c r="E51" s="1503">
        <v>682</v>
      </c>
      <c r="F51" s="1674">
        <v>215</v>
      </c>
      <c r="G51" s="1674">
        <v>342</v>
      </c>
      <c r="H51" s="1675">
        <v>557</v>
      </c>
      <c r="I51" s="1692">
        <v>8</v>
      </c>
      <c r="J51" s="1692">
        <v>5</v>
      </c>
      <c r="K51" s="1693">
        <v>13</v>
      </c>
      <c r="L51" s="1485">
        <v>1</v>
      </c>
      <c r="M51" s="1485">
        <v>1</v>
      </c>
      <c r="N51" s="1488">
        <v>2</v>
      </c>
      <c r="P51" s="1595"/>
      <c r="Q51" s="1615" t="s">
        <v>914</v>
      </c>
      <c r="R51" s="1731">
        <v>625</v>
      </c>
      <c r="S51" s="1731">
        <v>800</v>
      </c>
      <c r="T51" s="1731">
        <v>1425</v>
      </c>
      <c r="U51" s="1615"/>
    </row>
    <row r="52" spans="1:21" s="742" customFormat="1" ht="13.2">
      <c r="A52" s="1697" t="s">
        <v>419</v>
      </c>
      <c r="B52" s="1698">
        <v>2</v>
      </c>
      <c r="C52" s="1699">
        <v>118</v>
      </c>
      <c r="D52" s="1698">
        <v>117</v>
      </c>
      <c r="E52" s="1700">
        <v>235</v>
      </c>
      <c r="F52" s="1701">
        <v>117</v>
      </c>
      <c r="G52" s="1701">
        <v>116</v>
      </c>
      <c r="H52" s="1702">
        <v>233</v>
      </c>
      <c r="I52" s="1703">
        <v>2</v>
      </c>
      <c r="J52" s="1703"/>
      <c r="K52" s="1704">
        <v>2</v>
      </c>
      <c r="L52" s="1698"/>
      <c r="M52" s="1698"/>
      <c r="N52" s="1705"/>
      <c r="P52" s="1595"/>
      <c r="Q52" s="1615" t="s">
        <v>915</v>
      </c>
      <c r="R52" s="1615">
        <v>710</v>
      </c>
      <c r="S52" s="742">
        <v>710</v>
      </c>
      <c r="T52" s="742">
        <v>1420</v>
      </c>
    </row>
    <row r="53" spans="1:21" s="742" customFormat="1" ht="13.2">
      <c r="A53" s="1612" t="s">
        <v>769</v>
      </c>
      <c r="B53" s="1682">
        <v>62</v>
      </c>
      <c r="C53" s="1694">
        <v>1177</v>
      </c>
      <c r="D53" s="1682">
        <v>1656</v>
      </c>
      <c r="E53" s="1694">
        <v>2833</v>
      </c>
      <c r="F53" s="1695">
        <v>871</v>
      </c>
      <c r="G53" s="1695">
        <v>1222</v>
      </c>
      <c r="H53" s="1695">
        <v>2093</v>
      </c>
      <c r="I53" s="1696">
        <v>24</v>
      </c>
      <c r="J53" s="1696">
        <v>30</v>
      </c>
      <c r="K53" s="1696">
        <v>54</v>
      </c>
      <c r="L53" s="1682">
        <v>6</v>
      </c>
      <c r="M53" s="1682">
        <v>1</v>
      </c>
      <c r="N53" s="1683">
        <v>7</v>
      </c>
      <c r="P53" s="1595"/>
      <c r="Q53" s="1615" t="s">
        <v>916</v>
      </c>
      <c r="R53" s="1615">
        <v>541</v>
      </c>
      <c r="S53" s="742">
        <v>734</v>
      </c>
      <c r="T53" s="742">
        <v>1275</v>
      </c>
    </row>
    <row r="54" spans="1:21" s="742" customFormat="1" ht="13.2">
      <c r="A54" s="1601" t="s">
        <v>199</v>
      </c>
      <c r="B54" s="1485">
        <v>12</v>
      </c>
      <c r="C54" s="1506">
        <v>88</v>
      </c>
      <c r="D54" s="1485">
        <v>98</v>
      </c>
      <c r="E54" s="1503">
        <v>186</v>
      </c>
      <c r="F54" s="1674">
        <v>77</v>
      </c>
      <c r="G54" s="1674">
        <v>92</v>
      </c>
      <c r="H54" s="1675">
        <v>169</v>
      </c>
      <c r="I54" s="1692">
        <v>4</v>
      </c>
      <c r="J54" s="1692">
        <v>4</v>
      </c>
      <c r="K54" s="1693">
        <v>8</v>
      </c>
      <c r="L54" s="1485"/>
      <c r="M54" s="1485"/>
      <c r="N54" s="1488"/>
      <c r="P54" s="1595"/>
      <c r="Q54" s="1615" t="s">
        <v>917</v>
      </c>
      <c r="R54" s="1615">
        <v>589</v>
      </c>
      <c r="S54" s="742">
        <v>719</v>
      </c>
      <c r="T54" s="742">
        <v>1308</v>
      </c>
    </row>
    <row r="55" spans="1:21" s="742" customFormat="1" ht="13.2">
      <c r="A55" s="1612" t="s">
        <v>770</v>
      </c>
      <c r="B55" s="1682">
        <v>12</v>
      </c>
      <c r="C55" s="1694">
        <v>88</v>
      </c>
      <c r="D55" s="1682">
        <v>98</v>
      </c>
      <c r="E55" s="1694">
        <v>186</v>
      </c>
      <c r="F55" s="1695">
        <v>77</v>
      </c>
      <c r="G55" s="1695">
        <v>92</v>
      </c>
      <c r="H55" s="1695">
        <v>169</v>
      </c>
      <c r="I55" s="1696">
        <v>4</v>
      </c>
      <c r="J55" s="1696">
        <v>4</v>
      </c>
      <c r="K55" s="1696">
        <v>8</v>
      </c>
      <c r="L55" s="1682"/>
      <c r="M55" s="1682"/>
      <c r="N55" s="1683"/>
      <c r="P55" s="1595"/>
      <c r="Q55" s="1615" t="s">
        <v>918</v>
      </c>
      <c r="R55" s="1731">
        <v>24</v>
      </c>
      <c r="S55" s="1731">
        <v>45</v>
      </c>
      <c r="T55" s="1731">
        <v>69</v>
      </c>
    </row>
    <row r="56" spans="1:21" s="742" customFormat="1" ht="13.2">
      <c r="A56" s="1601" t="s">
        <v>422</v>
      </c>
      <c r="B56" s="1485">
        <v>16</v>
      </c>
      <c r="C56" s="1506">
        <v>167</v>
      </c>
      <c r="D56" s="1485">
        <v>363</v>
      </c>
      <c r="E56" s="1503">
        <v>530</v>
      </c>
      <c r="F56" s="1674">
        <v>126</v>
      </c>
      <c r="G56" s="1674">
        <v>274</v>
      </c>
      <c r="H56" s="1675">
        <v>400</v>
      </c>
      <c r="I56" s="1692">
        <v>4</v>
      </c>
      <c r="J56" s="1692">
        <v>9</v>
      </c>
      <c r="K56" s="1693">
        <v>13</v>
      </c>
      <c r="L56" s="1485"/>
      <c r="M56" s="1485">
        <v>2</v>
      </c>
      <c r="N56" s="1488">
        <v>2</v>
      </c>
      <c r="P56" s="1595"/>
      <c r="Q56" s="1615"/>
      <c r="R56" s="1731"/>
      <c r="S56" s="1731"/>
      <c r="T56" s="1731"/>
    </row>
    <row r="57" spans="1:21" s="742" customFormat="1" ht="13.2">
      <c r="A57" s="1601" t="s">
        <v>423</v>
      </c>
      <c r="B57" s="1485">
        <v>6</v>
      </c>
      <c r="C57" s="1506">
        <v>47</v>
      </c>
      <c r="D57" s="1485">
        <v>78</v>
      </c>
      <c r="E57" s="1503">
        <v>125</v>
      </c>
      <c r="F57" s="1674">
        <v>45</v>
      </c>
      <c r="G57" s="1674">
        <v>77</v>
      </c>
      <c r="H57" s="1675">
        <v>122</v>
      </c>
      <c r="I57" s="1692">
        <v>3</v>
      </c>
      <c r="J57" s="1692">
        <v>2</v>
      </c>
      <c r="K57" s="1693">
        <v>5</v>
      </c>
      <c r="L57" s="1485">
        <v>1</v>
      </c>
      <c r="M57" s="1485"/>
      <c r="N57" s="1488">
        <v>1</v>
      </c>
      <c r="P57" s="1595"/>
      <c r="Q57" s="1615"/>
      <c r="R57" s="1731"/>
      <c r="S57" s="1731"/>
      <c r="T57" s="1731"/>
    </row>
    <row r="58" spans="1:21" s="742" customFormat="1" ht="13.2">
      <c r="A58" s="1601" t="s">
        <v>424</v>
      </c>
      <c r="B58" s="1485">
        <v>20</v>
      </c>
      <c r="C58" s="1506">
        <v>375</v>
      </c>
      <c r="D58" s="1485">
        <v>314</v>
      </c>
      <c r="E58" s="1503">
        <v>689</v>
      </c>
      <c r="F58" s="1674">
        <v>323</v>
      </c>
      <c r="G58" s="1674">
        <v>282</v>
      </c>
      <c r="H58" s="1675">
        <v>605</v>
      </c>
      <c r="I58" s="1692">
        <v>11</v>
      </c>
      <c r="J58" s="1692">
        <v>9</v>
      </c>
      <c r="K58" s="1693">
        <v>20</v>
      </c>
      <c r="L58" s="1485"/>
      <c r="M58" s="1485"/>
      <c r="N58" s="1488"/>
      <c r="P58" s="1595"/>
      <c r="Q58" s="1615"/>
      <c r="R58" s="1731"/>
      <c r="S58" s="1731"/>
      <c r="T58" s="1731"/>
    </row>
    <row r="59" spans="1:21" s="742" customFormat="1" ht="13.2">
      <c r="A59" s="1601" t="s">
        <v>425</v>
      </c>
      <c r="B59" s="1485">
        <v>12</v>
      </c>
      <c r="C59" s="1506">
        <v>249</v>
      </c>
      <c r="D59" s="1485">
        <v>209</v>
      </c>
      <c r="E59" s="1503">
        <v>458</v>
      </c>
      <c r="F59" s="1674">
        <v>236</v>
      </c>
      <c r="G59" s="1674">
        <v>187</v>
      </c>
      <c r="H59" s="1675">
        <v>423</v>
      </c>
      <c r="I59" s="1692">
        <v>5</v>
      </c>
      <c r="J59" s="1692">
        <v>4</v>
      </c>
      <c r="K59" s="1693">
        <v>9</v>
      </c>
      <c r="L59" s="1485">
        <v>1</v>
      </c>
      <c r="M59" s="1485"/>
      <c r="N59" s="1488">
        <v>1</v>
      </c>
      <c r="P59" s="1595"/>
      <c r="Q59" s="1615"/>
      <c r="R59" s="1731"/>
      <c r="S59" s="1731"/>
      <c r="T59" s="1731"/>
    </row>
    <row r="60" spans="1:21" s="742" customFormat="1" ht="13.2">
      <c r="A60" s="1601" t="s">
        <v>426</v>
      </c>
      <c r="B60" s="1485">
        <v>6</v>
      </c>
      <c r="C60" s="1506">
        <v>60</v>
      </c>
      <c r="D60" s="1485">
        <v>99</v>
      </c>
      <c r="E60" s="1503">
        <v>159</v>
      </c>
      <c r="F60" s="1674">
        <v>59</v>
      </c>
      <c r="G60" s="1674">
        <v>99</v>
      </c>
      <c r="H60" s="1675">
        <v>158</v>
      </c>
      <c r="I60" s="1692">
        <v>4</v>
      </c>
      <c r="J60" s="1692">
        <v>2</v>
      </c>
      <c r="K60" s="1693">
        <v>6</v>
      </c>
      <c r="L60" s="1485"/>
      <c r="M60" s="1485"/>
      <c r="N60" s="1488"/>
      <c r="P60" s="1595"/>
      <c r="Q60" s="1615"/>
      <c r="R60" s="1731"/>
      <c r="S60" s="1731"/>
      <c r="T60" s="1731"/>
    </row>
    <row r="61" spans="1:21" s="742" customFormat="1" ht="13.2">
      <c r="A61" s="1601" t="s">
        <v>427</v>
      </c>
      <c r="B61" s="1485">
        <v>9</v>
      </c>
      <c r="C61" s="1506">
        <v>109</v>
      </c>
      <c r="D61" s="1485">
        <v>165</v>
      </c>
      <c r="E61" s="1503">
        <v>274</v>
      </c>
      <c r="F61" s="1674">
        <v>109</v>
      </c>
      <c r="G61" s="1674">
        <v>163</v>
      </c>
      <c r="H61" s="1675">
        <v>272</v>
      </c>
      <c r="I61" s="1692">
        <v>2</v>
      </c>
      <c r="J61" s="1692">
        <v>6</v>
      </c>
      <c r="K61" s="1693">
        <v>8</v>
      </c>
      <c r="L61" s="1485"/>
      <c r="M61" s="1485">
        <v>1</v>
      </c>
      <c r="N61" s="1488">
        <v>1</v>
      </c>
      <c r="P61" s="1595"/>
      <c r="Q61" s="1615"/>
      <c r="R61" s="1731"/>
      <c r="S61" s="1731"/>
      <c r="T61" s="1731"/>
    </row>
    <row r="62" spans="1:21" s="742" customFormat="1" ht="13.2">
      <c r="A62" s="1601" t="s">
        <v>771</v>
      </c>
      <c r="B62" s="1485">
        <v>3</v>
      </c>
      <c r="C62" s="1506">
        <v>21</v>
      </c>
      <c r="D62" s="1485">
        <v>57</v>
      </c>
      <c r="E62" s="1503">
        <v>78</v>
      </c>
      <c r="F62" s="1674">
        <v>21</v>
      </c>
      <c r="G62" s="1674">
        <v>57</v>
      </c>
      <c r="H62" s="1675">
        <v>78</v>
      </c>
      <c r="I62" s="1692">
        <v>1</v>
      </c>
      <c r="J62" s="1692">
        <v>2</v>
      </c>
      <c r="K62" s="1693">
        <v>3</v>
      </c>
      <c r="L62" s="1485"/>
      <c r="M62" s="1485"/>
      <c r="N62" s="1488"/>
      <c r="P62" s="1595"/>
      <c r="Q62" s="1615"/>
      <c r="R62" s="1731"/>
      <c r="S62" s="1731"/>
      <c r="T62" s="1731"/>
    </row>
    <row r="63" spans="1:21" s="742" customFormat="1" ht="13.2">
      <c r="A63" s="1601" t="s">
        <v>429</v>
      </c>
      <c r="B63" s="1485">
        <v>2</v>
      </c>
      <c r="C63" s="1506">
        <v>89</v>
      </c>
      <c r="D63" s="1485">
        <v>104</v>
      </c>
      <c r="E63" s="1503">
        <v>193</v>
      </c>
      <c r="F63" s="1674">
        <v>89</v>
      </c>
      <c r="G63" s="1674">
        <v>103</v>
      </c>
      <c r="H63" s="1675">
        <v>192</v>
      </c>
      <c r="I63" s="1692"/>
      <c r="J63" s="1692">
        <v>1</v>
      </c>
      <c r="K63" s="1693">
        <v>1</v>
      </c>
      <c r="L63" s="1485"/>
      <c r="M63" s="1485">
        <v>1</v>
      </c>
      <c r="N63" s="1488">
        <v>1</v>
      </c>
      <c r="P63" s="1595"/>
      <c r="Q63" s="1615"/>
      <c r="R63" s="1731"/>
      <c r="S63" s="1731"/>
      <c r="T63" s="1731"/>
    </row>
    <row r="64" spans="1:21" s="742" customFormat="1" ht="13.2">
      <c r="A64" s="1612" t="s">
        <v>773</v>
      </c>
      <c r="B64" s="1682">
        <v>74</v>
      </c>
      <c r="C64" s="1694">
        <v>1117</v>
      </c>
      <c r="D64" s="1682">
        <v>1389</v>
      </c>
      <c r="E64" s="1694">
        <v>2506</v>
      </c>
      <c r="F64" s="1695">
        <v>854</v>
      </c>
      <c r="G64" s="1695">
        <v>995</v>
      </c>
      <c r="H64" s="1695">
        <v>1849</v>
      </c>
      <c r="I64" s="1696">
        <v>30</v>
      </c>
      <c r="J64" s="1696">
        <v>35</v>
      </c>
      <c r="K64" s="1696">
        <v>65</v>
      </c>
      <c r="L64" s="1682">
        <v>2</v>
      </c>
      <c r="M64" s="1682">
        <v>4</v>
      </c>
      <c r="N64" s="1683">
        <v>6</v>
      </c>
      <c r="P64" s="1595"/>
      <c r="Q64" s="1615"/>
      <c r="R64" s="1731"/>
      <c r="S64" s="1731"/>
      <c r="T64" s="1731"/>
    </row>
    <row r="65" spans="1:168" s="742" customFormat="1" ht="13.2">
      <c r="A65" s="1601" t="s">
        <v>178</v>
      </c>
      <c r="B65" s="1485">
        <v>10</v>
      </c>
      <c r="C65" s="1506">
        <v>98</v>
      </c>
      <c r="D65" s="1485">
        <v>182</v>
      </c>
      <c r="E65" s="1503">
        <v>280</v>
      </c>
      <c r="F65" s="1674">
        <v>94</v>
      </c>
      <c r="G65" s="1674">
        <v>176</v>
      </c>
      <c r="H65" s="1675">
        <v>270</v>
      </c>
      <c r="I65" s="1692"/>
      <c r="J65" s="1692">
        <v>8</v>
      </c>
      <c r="K65" s="1693">
        <v>8</v>
      </c>
      <c r="L65" s="1485">
        <v>1</v>
      </c>
      <c r="M65" s="1485"/>
      <c r="N65" s="1488">
        <v>1</v>
      </c>
      <c r="P65" s="1595"/>
      <c r="Q65" s="1615"/>
      <c r="R65" s="1731"/>
      <c r="S65" s="1731"/>
      <c r="T65" s="1731"/>
    </row>
    <row r="66" spans="1:168" s="607" customFormat="1" ht="13.2">
      <c r="A66" s="1605" t="s">
        <v>431</v>
      </c>
      <c r="B66" s="1698">
        <v>1</v>
      </c>
      <c r="C66" s="1699"/>
      <c r="D66" s="1698">
        <v>17</v>
      </c>
      <c r="E66" s="1700">
        <v>17</v>
      </c>
      <c r="F66" s="1701">
        <v>0</v>
      </c>
      <c r="G66" s="1701">
        <v>17</v>
      </c>
      <c r="H66" s="1702">
        <v>17</v>
      </c>
      <c r="I66" s="1703"/>
      <c r="J66" s="1703">
        <v>1</v>
      </c>
      <c r="K66" s="1704">
        <v>1</v>
      </c>
      <c r="L66" s="1698"/>
      <c r="M66" s="1698"/>
      <c r="N66" s="1705"/>
      <c r="O66" s="742"/>
      <c r="P66" s="1595"/>
      <c r="Q66" s="1615"/>
      <c r="R66" s="1731"/>
      <c r="S66" s="1731"/>
      <c r="T66" s="1731"/>
      <c r="U66" s="742"/>
      <c r="V66" s="742"/>
      <c r="W66" s="742"/>
      <c r="X66" s="742"/>
      <c r="Y66" s="742"/>
      <c r="Z66" s="742"/>
      <c r="AA66" s="742"/>
      <c r="AB66" s="742"/>
      <c r="AC66" s="742"/>
      <c r="AD66" s="742"/>
      <c r="AE66" s="742"/>
      <c r="AF66" s="742"/>
      <c r="AG66" s="742"/>
      <c r="AH66" s="742"/>
      <c r="AI66" s="742"/>
      <c r="AJ66" s="742"/>
      <c r="AK66" s="742"/>
      <c r="AL66" s="742"/>
      <c r="AM66" s="742"/>
      <c r="AN66" s="742"/>
      <c r="AO66" s="742"/>
      <c r="AP66" s="742"/>
      <c r="AQ66" s="742"/>
      <c r="AR66" s="742"/>
      <c r="AS66" s="742"/>
      <c r="AT66" s="742"/>
      <c r="AU66" s="742"/>
      <c r="AV66" s="742"/>
      <c r="AW66" s="742"/>
      <c r="AX66" s="742"/>
      <c r="AY66" s="742"/>
      <c r="AZ66" s="742"/>
      <c r="BA66" s="742"/>
      <c r="BB66" s="742"/>
      <c r="BC66" s="742"/>
      <c r="BD66" s="742"/>
      <c r="BE66" s="742"/>
      <c r="BF66" s="742"/>
      <c r="BG66" s="742"/>
      <c r="BH66" s="742"/>
      <c r="BI66" s="742"/>
      <c r="BJ66" s="742"/>
      <c r="BK66" s="742"/>
      <c r="BL66" s="742"/>
      <c r="BM66" s="742"/>
      <c r="BN66" s="742"/>
      <c r="BO66" s="742"/>
      <c r="BP66" s="742"/>
      <c r="BQ66" s="742"/>
      <c r="BR66" s="742"/>
      <c r="BS66" s="742"/>
      <c r="BT66" s="742"/>
      <c r="BU66" s="742"/>
      <c r="BV66" s="742"/>
      <c r="BW66" s="742"/>
      <c r="BX66" s="742"/>
      <c r="BY66" s="742"/>
      <c r="BZ66" s="742"/>
      <c r="CA66" s="742"/>
      <c r="CB66" s="742"/>
      <c r="CC66" s="742"/>
      <c r="CD66" s="742"/>
      <c r="CE66" s="742"/>
      <c r="CF66" s="742"/>
      <c r="CG66" s="742"/>
      <c r="CH66" s="742"/>
      <c r="CI66" s="742"/>
      <c r="CJ66" s="742"/>
      <c r="CK66" s="742"/>
      <c r="CL66" s="742"/>
      <c r="CM66" s="742"/>
      <c r="CN66" s="742"/>
      <c r="CO66" s="742"/>
      <c r="CP66" s="742"/>
      <c r="CQ66" s="742"/>
      <c r="CR66" s="742"/>
      <c r="CS66" s="742"/>
      <c r="CT66" s="742"/>
      <c r="CU66" s="742"/>
      <c r="CV66" s="742"/>
      <c r="CW66" s="742"/>
      <c r="CX66" s="742"/>
      <c r="CY66" s="742"/>
      <c r="CZ66" s="742"/>
      <c r="DA66" s="742"/>
      <c r="DB66" s="742"/>
      <c r="DC66" s="742"/>
      <c r="DD66" s="742"/>
      <c r="DE66" s="742"/>
      <c r="DF66" s="742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742"/>
      <c r="FA66" s="742"/>
      <c r="FB66" s="742"/>
      <c r="FC66" s="742"/>
      <c r="FD66" s="742"/>
      <c r="FE66" s="742"/>
      <c r="FF66" s="742"/>
      <c r="FG66" s="742"/>
      <c r="FH66" s="742"/>
      <c r="FI66" s="742"/>
      <c r="FJ66" s="742"/>
      <c r="FK66" s="742"/>
      <c r="FL66" s="742"/>
    </row>
    <row r="67" spans="1:168" s="607" customFormat="1" ht="13.2">
      <c r="A67" s="1612" t="s">
        <v>774</v>
      </c>
      <c r="B67" s="1682">
        <v>11</v>
      </c>
      <c r="C67" s="1694">
        <v>98</v>
      </c>
      <c r="D67" s="1682">
        <v>199</v>
      </c>
      <c r="E67" s="1694">
        <v>297</v>
      </c>
      <c r="F67" s="1695">
        <v>94</v>
      </c>
      <c r="G67" s="1695">
        <v>191</v>
      </c>
      <c r="H67" s="1695">
        <v>285</v>
      </c>
      <c r="I67" s="1696"/>
      <c r="J67" s="1696">
        <v>9</v>
      </c>
      <c r="K67" s="1696">
        <v>9</v>
      </c>
      <c r="L67" s="1682">
        <v>1</v>
      </c>
      <c r="M67" s="1682"/>
      <c r="N67" s="1683">
        <v>1</v>
      </c>
      <c r="O67" s="742"/>
      <c r="P67" s="1595"/>
      <c r="Q67" s="1615"/>
      <c r="R67" s="1731"/>
      <c r="S67" s="1731"/>
      <c r="T67" s="1731"/>
      <c r="U67" s="742"/>
      <c r="V67" s="742"/>
      <c r="W67" s="742"/>
      <c r="X67" s="742"/>
      <c r="Y67" s="742"/>
      <c r="Z67" s="742"/>
      <c r="AA67" s="742"/>
      <c r="AB67" s="742"/>
      <c r="AC67" s="742"/>
      <c r="AD67" s="742"/>
      <c r="AE67" s="742"/>
      <c r="AF67" s="742"/>
      <c r="AG67" s="742"/>
      <c r="AH67" s="742"/>
      <c r="AI67" s="742"/>
      <c r="AJ67" s="742"/>
      <c r="AK67" s="742"/>
      <c r="AL67" s="742"/>
      <c r="AM67" s="742"/>
      <c r="AN67" s="742"/>
      <c r="AO67" s="742"/>
      <c r="AP67" s="742"/>
      <c r="AQ67" s="742"/>
      <c r="AR67" s="742"/>
      <c r="AS67" s="742"/>
      <c r="AT67" s="742"/>
      <c r="AU67" s="742"/>
      <c r="AV67" s="742"/>
      <c r="AW67" s="742"/>
      <c r="AX67" s="742"/>
      <c r="AY67" s="742"/>
      <c r="AZ67" s="742"/>
      <c r="BA67" s="742"/>
      <c r="BB67" s="742"/>
      <c r="BC67" s="742"/>
      <c r="BD67" s="742"/>
      <c r="BE67" s="742"/>
      <c r="BF67" s="742"/>
      <c r="BG67" s="742"/>
      <c r="BH67" s="742"/>
      <c r="BI67" s="742"/>
      <c r="BJ67" s="742"/>
      <c r="BK67" s="742"/>
      <c r="BL67" s="742"/>
      <c r="BM67" s="742"/>
      <c r="BN67" s="742"/>
      <c r="BO67" s="742"/>
      <c r="BP67" s="742"/>
      <c r="BQ67" s="742"/>
      <c r="BR67" s="742"/>
      <c r="BS67" s="742"/>
      <c r="BT67" s="742"/>
      <c r="BU67" s="742"/>
      <c r="BV67" s="742"/>
      <c r="BW67" s="742"/>
      <c r="BX67" s="742"/>
      <c r="BY67" s="742"/>
      <c r="BZ67" s="742"/>
      <c r="CA67" s="742"/>
      <c r="CB67" s="742"/>
      <c r="CC67" s="742"/>
      <c r="CD67" s="742"/>
      <c r="CE67" s="742"/>
      <c r="CF67" s="742"/>
      <c r="CG67" s="742"/>
      <c r="CH67" s="742"/>
      <c r="CI67" s="742"/>
      <c r="CJ67" s="742"/>
      <c r="CK67" s="742"/>
      <c r="CL67" s="742"/>
      <c r="CM67" s="742"/>
      <c r="CN67" s="742"/>
      <c r="CO67" s="742"/>
      <c r="CP67" s="742"/>
      <c r="CQ67" s="742"/>
      <c r="CR67" s="742"/>
      <c r="CS67" s="742"/>
      <c r="CT67" s="742"/>
      <c r="CU67" s="742"/>
      <c r="CV67" s="742"/>
      <c r="CW67" s="742"/>
      <c r="CX67" s="742"/>
      <c r="CY67" s="742"/>
      <c r="CZ67" s="742"/>
      <c r="DA67" s="742"/>
      <c r="DB67" s="742"/>
      <c r="DC67" s="742"/>
      <c r="DD67" s="742"/>
      <c r="DE67" s="742"/>
      <c r="DF67" s="742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742"/>
      <c r="FA67" s="742"/>
      <c r="FB67" s="742"/>
      <c r="FC67" s="742"/>
      <c r="FD67" s="742"/>
      <c r="FE67" s="742"/>
      <c r="FF67" s="742"/>
      <c r="FG67" s="742"/>
      <c r="FH67" s="742"/>
      <c r="FI67" s="742"/>
      <c r="FJ67" s="742"/>
      <c r="FK67" s="742"/>
      <c r="FL67" s="742"/>
    </row>
    <row r="68" spans="1:168" s="607" customFormat="1" ht="13.2">
      <c r="A68" s="1628" t="s">
        <v>433</v>
      </c>
      <c r="B68" s="1485"/>
      <c r="C68" s="1506"/>
      <c r="D68" s="1485"/>
      <c r="E68" s="1503"/>
      <c r="F68" s="1674"/>
      <c r="G68" s="1674"/>
      <c r="H68" s="1675"/>
      <c r="I68" s="1692"/>
      <c r="J68" s="1692"/>
      <c r="K68" s="1693"/>
      <c r="L68" s="1485"/>
      <c r="M68" s="1485"/>
      <c r="N68" s="1488"/>
      <c r="O68" s="742"/>
      <c r="P68" s="1595"/>
      <c r="Q68" s="1615"/>
      <c r="R68" s="1731"/>
      <c r="S68" s="1731"/>
      <c r="T68" s="1731"/>
      <c r="U68" s="742"/>
      <c r="V68" s="742"/>
      <c r="W68" s="742"/>
      <c r="X68" s="742"/>
      <c r="Y68" s="742"/>
      <c r="Z68" s="742"/>
      <c r="AA68" s="742"/>
      <c r="AB68" s="742"/>
      <c r="AC68" s="742"/>
      <c r="AD68" s="742"/>
      <c r="AE68" s="742"/>
      <c r="AF68" s="742"/>
      <c r="AG68" s="742"/>
      <c r="AH68" s="742"/>
      <c r="AI68" s="742"/>
      <c r="AJ68" s="742"/>
      <c r="AK68" s="742"/>
      <c r="AL68" s="742"/>
      <c r="AM68" s="742"/>
      <c r="AN68" s="742"/>
      <c r="AO68" s="742"/>
      <c r="AP68" s="742"/>
      <c r="AQ68" s="742"/>
      <c r="AR68" s="742"/>
      <c r="AS68" s="742"/>
      <c r="AT68" s="742"/>
      <c r="AU68" s="742"/>
      <c r="AV68" s="742"/>
      <c r="AW68" s="742"/>
      <c r="AX68" s="742"/>
      <c r="AY68" s="742"/>
      <c r="AZ68" s="742"/>
      <c r="BA68" s="742"/>
      <c r="BB68" s="742"/>
      <c r="BC68" s="742"/>
      <c r="BD68" s="742"/>
      <c r="BE68" s="742"/>
      <c r="BF68" s="742"/>
      <c r="BG68" s="742"/>
      <c r="BH68" s="742"/>
      <c r="BI68" s="742"/>
      <c r="BJ68" s="742"/>
      <c r="BK68" s="742"/>
      <c r="BL68" s="742"/>
      <c r="BM68" s="742"/>
      <c r="BN68" s="742"/>
      <c r="BO68" s="742"/>
      <c r="BP68" s="742"/>
      <c r="BQ68" s="742"/>
      <c r="BR68" s="742"/>
      <c r="BS68" s="742"/>
      <c r="BT68" s="742"/>
      <c r="BU68" s="742"/>
      <c r="BV68" s="742"/>
      <c r="BW68" s="742"/>
      <c r="BX68" s="742"/>
      <c r="BY68" s="742"/>
      <c r="BZ68" s="742"/>
      <c r="CA68" s="742"/>
      <c r="CB68" s="742"/>
      <c r="CC68" s="742"/>
      <c r="CD68" s="742"/>
      <c r="CE68" s="742"/>
      <c r="CF68" s="742"/>
      <c r="CG68" s="742"/>
      <c r="CH68" s="742"/>
      <c r="CI68" s="742"/>
      <c r="CJ68" s="742"/>
      <c r="CK68" s="742"/>
      <c r="CL68" s="742"/>
      <c r="CM68" s="742"/>
      <c r="CN68" s="742"/>
      <c r="CO68" s="742"/>
      <c r="CP68" s="742"/>
      <c r="CQ68" s="742"/>
      <c r="CR68" s="742"/>
      <c r="CS68" s="742"/>
      <c r="CT68" s="742"/>
      <c r="CU68" s="742"/>
      <c r="CV68" s="742"/>
      <c r="CW68" s="742"/>
      <c r="CX68" s="742"/>
      <c r="CY68" s="742"/>
      <c r="CZ68" s="742"/>
      <c r="DA68" s="742"/>
      <c r="DB68" s="742"/>
      <c r="DC68" s="742"/>
      <c r="DD68" s="742"/>
      <c r="DE68" s="742"/>
      <c r="DF68" s="742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742"/>
      <c r="FA68" s="742"/>
      <c r="FB68" s="742"/>
      <c r="FC68" s="742"/>
      <c r="FD68" s="742"/>
      <c r="FE68" s="742"/>
      <c r="FF68" s="742"/>
      <c r="FG68" s="742"/>
      <c r="FH68" s="742"/>
      <c r="FI68" s="742"/>
      <c r="FJ68" s="742"/>
      <c r="FK68" s="742"/>
      <c r="FL68" s="742"/>
    </row>
    <row r="69" spans="1:168" s="607" customFormat="1" ht="13.2">
      <c r="A69" s="1601" t="s">
        <v>434</v>
      </c>
      <c r="B69" s="1485">
        <v>25</v>
      </c>
      <c r="C69" s="1506">
        <v>770</v>
      </c>
      <c r="D69" s="1485">
        <v>686</v>
      </c>
      <c r="E69" s="1503">
        <v>1456</v>
      </c>
      <c r="F69" s="1674">
        <v>597</v>
      </c>
      <c r="G69" s="1674">
        <v>522</v>
      </c>
      <c r="H69" s="1675">
        <v>1119</v>
      </c>
      <c r="I69" s="1692">
        <v>16</v>
      </c>
      <c r="J69" s="1692">
        <v>7</v>
      </c>
      <c r="K69" s="1693">
        <v>23</v>
      </c>
      <c r="L69" s="1485">
        <v>1</v>
      </c>
      <c r="M69" s="1485">
        <v>1</v>
      </c>
      <c r="N69" s="1488">
        <v>2</v>
      </c>
      <c r="O69" s="742"/>
      <c r="P69" s="1595"/>
      <c r="Q69" s="1615"/>
      <c r="R69" s="1731"/>
      <c r="S69" s="1731"/>
      <c r="T69" s="1731"/>
      <c r="U69" s="742"/>
      <c r="V69" s="742"/>
      <c r="W69" s="742"/>
      <c r="X69" s="742"/>
      <c r="Y69" s="742"/>
      <c r="Z69" s="742"/>
      <c r="AA69" s="742"/>
      <c r="AB69" s="742"/>
      <c r="AC69" s="742"/>
      <c r="AD69" s="742"/>
      <c r="AE69" s="742"/>
      <c r="AF69" s="742"/>
      <c r="AG69" s="742"/>
      <c r="AH69" s="742"/>
      <c r="AI69" s="742"/>
      <c r="AJ69" s="742"/>
      <c r="AK69" s="742"/>
      <c r="AL69" s="742"/>
      <c r="AM69" s="742"/>
      <c r="AN69" s="742"/>
      <c r="AO69" s="742"/>
      <c r="AP69" s="742"/>
      <c r="AQ69" s="742"/>
      <c r="AR69" s="742"/>
      <c r="AS69" s="742"/>
      <c r="AT69" s="742"/>
      <c r="AU69" s="742"/>
      <c r="AV69" s="742"/>
      <c r="AW69" s="742"/>
      <c r="AX69" s="742"/>
      <c r="AY69" s="742"/>
      <c r="AZ69" s="742"/>
      <c r="BA69" s="742"/>
      <c r="BB69" s="742"/>
      <c r="BC69" s="742"/>
      <c r="BD69" s="742"/>
      <c r="BE69" s="742"/>
      <c r="BF69" s="742"/>
      <c r="BG69" s="742"/>
      <c r="BH69" s="742"/>
      <c r="BI69" s="742"/>
      <c r="BJ69" s="742"/>
      <c r="BK69" s="742"/>
      <c r="BL69" s="742"/>
      <c r="BM69" s="742"/>
      <c r="BN69" s="742"/>
      <c r="BO69" s="742"/>
      <c r="BP69" s="742"/>
      <c r="BQ69" s="742"/>
      <c r="BR69" s="742"/>
      <c r="BS69" s="742"/>
      <c r="BT69" s="742"/>
      <c r="BU69" s="742"/>
      <c r="BV69" s="742"/>
      <c r="BW69" s="742"/>
      <c r="BX69" s="742"/>
      <c r="BY69" s="742"/>
      <c r="BZ69" s="742"/>
      <c r="CA69" s="742"/>
      <c r="CB69" s="742"/>
      <c r="CC69" s="742"/>
      <c r="CD69" s="742"/>
      <c r="CE69" s="742"/>
      <c r="CF69" s="742"/>
      <c r="CG69" s="742"/>
      <c r="CH69" s="742"/>
      <c r="CI69" s="742"/>
      <c r="CJ69" s="742"/>
      <c r="CK69" s="742"/>
      <c r="CL69" s="742"/>
      <c r="CM69" s="742"/>
      <c r="CN69" s="742"/>
      <c r="CO69" s="742"/>
      <c r="CP69" s="742"/>
      <c r="CQ69" s="742"/>
      <c r="CR69" s="742"/>
      <c r="CS69" s="742"/>
      <c r="CT69" s="742"/>
      <c r="CU69" s="742"/>
      <c r="CV69" s="742"/>
      <c r="CW69" s="742"/>
      <c r="CX69" s="742"/>
      <c r="CY69" s="742"/>
      <c r="CZ69" s="742"/>
      <c r="DA69" s="742"/>
      <c r="DB69" s="742"/>
      <c r="DC69" s="742"/>
      <c r="DD69" s="742"/>
      <c r="DE69" s="742"/>
      <c r="DF69" s="742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742"/>
      <c r="FA69" s="742"/>
      <c r="FB69" s="742"/>
      <c r="FC69" s="742"/>
      <c r="FD69" s="742"/>
      <c r="FE69" s="742"/>
      <c r="FF69" s="742"/>
      <c r="FG69" s="742"/>
      <c r="FH69" s="742"/>
      <c r="FI69" s="742"/>
      <c r="FJ69" s="742"/>
      <c r="FK69" s="742"/>
      <c r="FL69" s="742"/>
    </row>
    <row r="70" spans="1:168" s="607" customFormat="1" ht="13.2">
      <c r="A70" s="1601" t="s">
        <v>435</v>
      </c>
      <c r="B70" s="1485">
        <v>24</v>
      </c>
      <c r="C70" s="1506">
        <v>546</v>
      </c>
      <c r="D70" s="1485">
        <v>488</v>
      </c>
      <c r="E70" s="1503">
        <v>1034</v>
      </c>
      <c r="F70" s="1674">
        <v>403</v>
      </c>
      <c r="G70" s="1674">
        <v>366</v>
      </c>
      <c r="H70" s="1675">
        <v>769</v>
      </c>
      <c r="I70" s="1692">
        <v>6</v>
      </c>
      <c r="J70" s="1692">
        <v>14</v>
      </c>
      <c r="K70" s="1693">
        <v>20</v>
      </c>
      <c r="L70" s="1485"/>
      <c r="M70" s="1485">
        <v>2</v>
      </c>
      <c r="N70" s="1488">
        <v>2</v>
      </c>
      <c r="O70" s="742"/>
      <c r="P70" s="1595"/>
      <c r="Q70" s="1615"/>
      <c r="R70" s="1731"/>
      <c r="S70" s="1731"/>
      <c r="T70" s="1731"/>
      <c r="U70" s="742"/>
      <c r="V70" s="742"/>
      <c r="W70" s="742"/>
      <c r="X70" s="742"/>
      <c r="Y70" s="742"/>
      <c r="Z70" s="742"/>
      <c r="AA70" s="742"/>
      <c r="AB70" s="742"/>
      <c r="AC70" s="742"/>
      <c r="AD70" s="742"/>
      <c r="AE70" s="742"/>
      <c r="AF70" s="742"/>
      <c r="AG70" s="742"/>
      <c r="AH70" s="742"/>
      <c r="AI70" s="742"/>
      <c r="AJ70" s="742"/>
      <c r="AK70" s="742"/>
      <c r="AL70" s="742"/>
      <c r="AM70" s="742"/>
      <c r="AN70" s="742"/>
      <c r="AO70" s="742"/>
      <c r="AP70" s="742"/>
      <c r="AQ70" s="742"/>
      <c r="AR70" s="742"/>
      <c r="AS70" s="742"/>
      <c r="AT70" s="742"/>
      <c r="AU70" s="742"/>
      <c r="AV70" s="742"/>
      <c r="AW70" s="742"/>
      <c r="AX70" s="742"/>
      <c r="AY70" s="742"/>
      <c r="AZ70" s="742"/>
      <c r="BA70" s="742"/>
      <c r="BB70" s="742"/>
      <c r="BC70" s="742"/>
      <c r="BD70" s="742"/>
      <c r="BE70" s="742"/>
      <c r="BF70" s="742"/>
      <c r="BG70" s="742"/>
      <c r="BH70" s="742"/>
      <c r="BI70" s="742"/>
      <c r="BJ70" s="742"/>
      <c r="BK70" s="742"/>
      <c r="BL70" s="742"/>
      <c r="BM70" s="742"/>
      <c r="BN70" s="742"/>
      <c r="BO70" s="742"/>
      <c r="BP70" s="742"/>
      <c r="BQ70" s="742"/>
      <c r="BR70" s="742"/>
      <c r="BS70" s="742"/>
      <c r="BT70" s="742"/>
      <c r="BU70" s="742"/>
      <c r="BV70" s="742"/>
      <c r="BW70" s="742"/>
      <c r="BX70" s="742"/>
      <c r="BY70" s="742"/>
      <c r="BZ70" s="742"/>
      <c r="CA70" s="742"/>
      <c r="CB70" s="742"/>
      <c r="CC70" s="742"/>
      <c r="CD70" s="742"/>
      <c r="CE70" s="742"/>
      <c r="CF70" s="742"/>
      <c r="CG70" s="742"/>
      <c r="CH70" s="742"/>
      <c r="CI70" s="742"/>
      <c r="CJ70" s="742"/>
      <c r="CK70" s="742"/>
      <c r="CL70" s="742"/>
      <c r="CM70" s="742"/>
      <c r="CN70" s="742"/>
      <c r="CO70" s="742"/>
      <c r="CP70" s="742"/>
      <c r="CQ70" s="742"/>
      <c r="CR70" s="742"/>
      <c r="CS70" s="742"/>
      <c r="CT70" s="742"/>
      <c r="CU70" s="742"/>
      <c r="CV70" s="742"/>
      <c r="CW70" s="742"/>
      <c r="CX70" s="742"/>
      <c r="CY70" s="742"/>
      <c r="CZ70" s="742"/>
      <c r="DA70" s="742"/>
      <c r="DB70" s="742"/>
      <c r="DC70" s="742"/>
      <c r="DD70" s="742"/>
      <c r="DE70" s="742"/>
      <c r="DF70" s="742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</row>
    <row r="71" spans="1:168" s="607" customFormat="1" ht="13.2">
      <c r="A71" s="1601" t="s">
        <v>436</v>
      </c>
      <c r="B71" s="1485">
        <v>18</v>
      </c>
      <c r="C71" s="1506">
        <v>268</v>
      </c>
      <c r="D71" s="1485">
        <v>366</v>
      </c>
      <c r="E71" s="1503">
        <v>634</v>
      </c>
      <c r="F71" s="1674">
        <v>247</v>
      </c>
      <c r="G71" s="1674">
        <v>330</v>
      </c>
      <c r="H71" s="1675">
        <v>577</v>
      </c>
      <c r="I71" s="1692">
        <v>6</v>
      </c>
      <c r="J71" s="1692">
        <v>10</v>
      </c>
      <c r="K71" s="1693">
        <v>16</v>
      </c>
      <c r="L71" s="1485">
        <v>1</v>
      </c>
      <c r="M71" s="1485">
        <v>1</v>
      </c>
      <c r="N71" s="1488">
        <v>2</v>
      </c>
      <c r="O71" s="742"/>
      <c r="P71" s="1595"/>
      <c r="Q71" s="1615"/>
      <c r="R71" s="1731"/>
      <c r="S71" s="1731"/>
      <c r="T71" s="1731"/>
      <c r="U71" s="742"/>
      <c r="V71" s="742"/>
      <c r="W71" s="742"/>
      <c r="X71" s="742"/>
      <c r="Y71" s="742"/>
      <c r="Z71" s="742"/>
      <c r="AA71" s="742"/>
      <c r="AB71" s="742"/>
      <c r="AC71" s="742"/>
      <c r="AD71" s="742"/>
      <c r="AE71" s="742"/>
      <c r="AF71" s="742"/>
      <c r="AG71" s="742"/>
      <c r="AH71" s="742"/>
      <c r="AI71" s="742"/>
      <c r="AJ71" s="742"/>
      <c r="AK71" s="742"/>
      <c r="AL71" s="742"/>
      <c r="AM71" s="742"/>
      <c r="AN71" s="742"/>
      <c r="AO71" s="742"/>
      <c r="AP71" s="742"/>
      <c r="AQ71" s="742"/>
      <c r="AR71" s="742"/>
      <c r="AS71" s="742"/>
      <c r="AT71" s="742"/>
      <c r="AU71" s="742"/>
      <c r="AV71" s="742"/>
      <c r="AW71" s="742"/>
      <c r="AX71" s="742"/>
      <c r="AY71" s="742"/>
      <c r="AZ71" s="742"/>
      <c r="BA71" s="742"/>
      <c r="BB71" s="742"/>
      <c r="BC71" s="742"/>
      <c r="BD71" s="742"/>
      <c r="BE71" s="742"/>
      <c r="BF71" s="742"/>
      <c r="BG71" s="742"/>
      <c r="BH71" s="742"/>
      <c r="BI71" s="742"/>
      <c r="BJ71" s="742"/>
      <c r="BK71" s="742"/>
      <c r="BL71" s="742"/>
      <c r="BM71" s="742"/>
      <c r="BN71" s="742"/>
      <c r="BO71" s="742"/>
      <c r="BP71" s="742"/>
      <c r="BQ71" s="742"/>
      <c r="BR71" s="742"/>
      <c r="BS71" s="742"/>
      <c r="BT71" s="742"/>
      <c r="BU71" s="742"/>
      <c r="BV71" s="742"/>
      <c r="BW71" s="742"/>
      <c r="BX71" s="742"/>
      <c r="BY71" s="742"/>
      <c r="BZ71" s="742"/>
      <c r="CA71" s="742"/>
      <c r="CB71" s="742"/>
      <c r="CC71" s="742"/>
      <c r="CD71" s="742"/>
      <c r="CE71" s="742"/>
      <c r="CF71" s="742"/>
      <c r="CG71" s="742"/>
      <c r="CH71" s="742"/>
      <c r="CI71" s="742"/>
      <c r="CJ71" s="742"/>
      <c r="CK71" s="742"/>
      <c r="CL71" s="742"/>
      <c r="CM71" s="742"/>
      <c r="CN71" s="742"/>
      <c r="CO71" s="742"/>
      <c r="CP71" s="742"/>
      <c r="CQ71" s="742"/>
      <c r="CR71" s="742"/>
      <c r="CS71" s="742"/>
      <c r="CT71" s="742"/>
      <c r="CU71" s="742"/>
      <c r="CV71" s="742"/>
      <c r="CW71" s="742"/>
      <c r="CX71" s="742"/>
      <c r="CY71" s="742"/>
      <c r="CZ71" s="742"/>
      <c r="DA71" s="742"/>
      <c r="DB71" s="742"/>
      <c r="DC71" s="742"/>
      <c r="DD71" s="742"/>
      <c r="DE71" s="742"/>
      <c r="DF71" s="742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</row>
    <row r="72" spans="1:168" s="607" customFormat="1" ht="13.2">
      <c r="A72" s="1601" t="s">
        <v>437</v>
      </c>
      <c r="B72" s="1485">
        <v>3</v>
      </c>
      <c r="C72" s="1506">
        <v>70</v>
      </c>
      <c r="D72" s="1485">
        <v>103</v>
      </c>
      <c r="E72" s="1503">
        <v>173</v>
      </c>
      <c r="F72" s="1674">
        <v>65</v>
      </c>
      <c r="G72" s="1674">
        <v>93</v>
      </c>
      <c r="H72" s="1675">
        <v>158</v>
      </c>
      <c r="I72" s="1692">
        <v>2</v>
      </c>
      <c r="J72" s="1692">
        <v>1</v>
      </c>
      <c r="K72" s="1693">
        <v>3</v>
      </c>
      <c r="L72" s="1485"/>
      <c r="M72" s="1485"/>
      <c r="N72" s="1488"/>
      <c r="O72" s="742"/>
      <c r="P72" s="1595"/>
      <c r="Q72" s="1615"/>
      <c r="R72" s="1731"/>
      <c r="S72" s="1731"/>
      <c r="T72" s="1731"/>
      <c r="U72" s="742"/>
      <c r="V72" s="742"/>
      <c r="W72" s="742"/>
      <c r="X72" s="742"/>
      <c r="Y72" s="742"/>
      <c r="Z72" s="742"/>
      <c r="AA72" s="742"/>
      <c r="AB72" s="742"/>
      <c r="AC72" s="742"/>
      <c r="AD72" s="742"/>
      <c r="AE72" s="742"/>
      <c r="AF72" s="742"/>
      <c r="AG72" s="742"/>
      <c r="AH72" s="742"/>
      <c r="AI72" s="742"/>
      <c r="AJ72" s="742"/>
      <c r="AK72" s="742"/>
      <c r="AL72" s="742"/>
      <c r="AM72" s="742"/>
      <c r="AN72" s="742"/>
      <c r="AO72" s="742"/>
      <c r="AP72" s="742"/>
      <c r="AQ72" s="742"/>
      <c r="AR72" s="742"/>
      <c r="AS72" s="742"/>
      <c r="AT72" s="742"/>
      <c r="AU72" s="742"/>
      <c r="AV72" s="742"/>
      <c r="AW72" s="742"/>
      <c r="AX72" s="742"/>
      <c r="AY72" s="742"/>
      <c r="AZ72" s="742"/>
      <c r="BA72" s="742"/>
      <c r="BB72" s="742"/>
      <c r="BC72" s="742"/>
      <c r="BD72" s="742"/>
      <c r="BE72" s="742"/>
      <c r="BF72" s="742"/>
      <c r="BG72" s="742"/>
      <c r="BH72" s="742"/>
      <c r="BI72" s="742"/>
      <c r="BJ72" s="742"/>
      <c r="BK72" s="742"/>
      <c r="BL72" s="742"/>
      <c r="BM72" s="742"/>
      <c r="BN72" s="742"/>
      <c r="BO72" s="742"/>
      <c r="BP72" s="742"/>
      <c r="BQ72" s="742"/>
      <c r="BR72" s="742"/>
      <c r="BS72" s="742"/>
      <c r="BT72" s="742"/>
      <c r="BU72" s="742"/>
      <c r="BV72" s="742"/>
      <c r="BW72" s="742"/>
      <c r="BX72" s="742"/>
      <c r="BY72" s="742"/>
      <c r="BZ72" s="742"/>
      <c r="CA72" s="742"/>
      <c r="CB72" s="742"/>
      <c r="CC72" s="742"/>
      <c r="CD72" s="742"/>
      <c r="CE72" s="742"/>
      <c r="CF72" s="742"/>
      <c r="CG72" s="742"/>
      <c r="CH72" s="742"/>
      <c r="CI72" s="742"/>
      <c r="CJ72" s="742"/>
      <c r="CK72" s="742"/>
      <c r="CL72" s="742"/>
      <c r="CM72" s="742"/>
      <c r="CN72" s="742"/>
      <c r="CO72" s="742"/>
      <c r="CP72" s="742"/>
      <c r="CQ72" s="742"/>
      <c r="CR72" s="742"/>
      <c r="CS72" s="742"/>
      <c r="CT72" s="742"/>
      <c r="CU72" s="742"/>
      <c r="CV72" s="742"/>
      <c r="CW72" s="742"/>
      <c r="CX72" s="742"/>
      <c r="CY72" s="742"/>
      <c r="CZ72" s="742"/>
      <c r="DA72" s="742"/>
      <c r="DB72" s="742"/>
      <c r="DC72" s="742"/>
      <c r="DD72" s="742"/>
      <c r="DE72" s="742"/>
      <c r="DF72" s="742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</row>
    <row r="73" spans="1:168" s="607" customFormat="1" ht="13.2">
      <c r="A73" s="1601" t="s">
        <v>438</v>
      </c>
      <c r="B73" s="1485">
        <v>1</v>
      </c>
      <c r="C73" s="1506">
        <v>18</v>
      </c>
      <c r="D73" s="1485">
        <v>50</v>
      </c>
      <c r="E73" s="1503">
        <v>68</v>
      </c>
      <c r="F73" s="1674">
        <v>18</v>
      </c>
      <c r="G73" s="1674">
        <v>50</v>
      </c>
      <c r="H73" s="1675">
        <v>68</v>
      </c>
      <c r="I73" s="1692"/>
      <c r="J73" s="1692">
        <v>1</v>
      </c>
      <c r="K73" s="1693">
        <v>1</v>
      </c>
      <c r="L73" s="1485"/>
      <c r="M73" s="1485"/>
      <c r="N73" s="1488"/>
      <c r="O73" s="742"/>
      <c r="P73" s="1595"/>
      <c r="Q73" s="1615"/>
      <c r="R73" s="1731"/>
      <c r="S73" s="1731"/>
      <c r="T73" s="1731"/>
      <c r="U73" s="742"/>
      <c r="V73" s="742"/>
      <c r="W73" s="742"/>
      <c r="X73" s="742"/>
      <c r="Y73" s="742"/>
      <c r="Z73" s="742"/>
      <c r="AA73" s="742"/>
      <c r="AB73" s="742"/>
      <c r="AC73" s="742"/>
      <c r="AD73" s="742"/>
      <c r="AE73" s="742"/>
      <c r="AF73" s="742"/>
      <c r="AG73" s="742"/>
      <c r="AH73" s="742"/>
      <c r="AI73" s="742"/>
      <c r="AJ73" s="742"/>
      <c r="AK73" s="742"/>
      <c r="AL73" s="742"/>
      <c r="AM73" s="742"/>
      <c r="AN73" s="742"/>
      <c r="AO73" s="742"/>
      <c r="AP73" s="742"/>
      <c r="AQ73" s="742"/>
      <c r="AR73" s="742"/>
      <c r="AS73" s="742"/>
      <c r="AT73" s="742"/>
      <c r="AU73" s="742"/>
      <c r="AV73" s="742"/>
      <c r="AW73" s="742"/>
      <c r="AX73" s="742"/>
      <c r="AY73" s="742"/>
      <c r="AZ73" s="742"/>
      <c r="BA73" s="742"/>
      <c r="BB73" s="742"/>
      <c r="BC73" s="742"/>
      <c r="BD73" s="742"/>
      <c r="BE73" s="742"/>
      <c r="BF73" s="742"/>
      <c r="BG73" s="742"/>
      <c r="BH73" s="742"/>
      <c r="BI73" s="742"/>
      <c r="BJ73" s="742"/>
      <c r="BK73" s="742"/>
      <c r="BL73" s="742"/>
      <c r="BM73" s="742"/>
      <c r="BN73" s="742"/>
      <c r="BO73" s="742"/>
      <c r="BP73" s="742"/>
      <c r="BQ73" s="742"/>
      <c r="BR73" s="742"/>
      <c r="BS73" s="742"/>
      <c r="BT73" s="742"/>
      <c r="BU73" s="742"/>
      <c r="BV73" s="742"/>
      <c r="BW73" s="742"/>
      <c r="BX73" s="742"/>
      <c r="BY73" s="742"/>
      <c r="BZ73" s="742"/>
      <c r="CA73" s="742"/>
      <c r="CB73" s="742"/>
      <c r="CC73" s="742"/>
      <c r="CD73" s="742"/>
      <c r="CE73" s="742"/>
      <c r="CF73" s="742"/>
      <c r="CG73" s="742"/>
      <c r="CH73" s="742"/>
      <c r="CI73" s="742"/>
      <c r="CJ73" s="742"/>
      <c r="CK73" s="742"/>
      <c r="CL73" s="742"/>
      <c r="CM73" s="742"/>
      <c r="CN73" s="742"/>
      <c r="CO73" s="742"/>
      <c r="CP73" s="742"/>
      <c r="CQ73" s="742"/>
      <c r="CR73" s="742"/>
      <c r="CS73" s="742"/>
      <c r="CT73" s="742"/>
      <c r="CU73" s="742"/>
      <c r="CV73" s="742"/>
      <c r="CW73" s="742"/>
      <c r="CX73" s="742"/>
      <c r="CY73" s="742"/>
      <c r="CZ73" s="742"/>
      <c r="DA73" s="742"/>
      <c r="DB73" s="742"/>
      <c r="DC73" s="742"/>
      <c r="DD73" s="742"/>
      <c r="DE73" s="742"/>
      <c r="DF73" s="742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</row>
    <row r="74" spans="1:168" s="607" customFormat="1" ht="13.2">
      <c r="A74" s="1601" t="s">
        <v>775</v>
      </c>
      <c r="B74" s="1485">
        <v>3</v>
      </c>
      <c r="C74" s="1506">
        <v>8</v>
      </c>
      <c r="D74" s="1485">
        <v>55</v>
      </c>
      <c r="E74" s="1503">
        <v>63</v>
      </c>
      <c r="F74" s="1674">
        <v>8</v>
      </c>
      <c r="G74" s="1674">
        <v>48</v>
      </c>
      <c r="H74" s="1675">
        <v>56</v>
      </c>
      <c r="I74" s="1692"/>
      <c r="J74" s="1692">
        <v>3</v>
      </c>
      <c r="K74" s="1693">
        <v>3</v>
      </c>
      <c r="L74" s="1485"/>
      <c r="M74" s="1485"/>
      <c r="N74" s="1488"/>
      <c r="O74" s="742"/>
      <c r="P74" s="1595"/>
      <c r="Q74" s="1615"/>
      <c r="R74" s="1731"/>
      <c r="S74" s="1731"/>
      <c r="T74" s="1731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  <c r="AU74" s="742"/>
      <c r="AV74" s="742"/>
      <c r="AW74" s="742"/>
      <c r="AX74" s="742"/>
      <c r="AY74" s="742"/>
      <c r="AZ74" s="742"/>
      <c r="BA74" s="742"/>
      <c r="BB74" s="742"/>
      <c r="BC74" s="742"/>
      <c r="BD74" s="742"/>
      <c r="BE74" s="742"/>
      <c r="BF74" s="742"/>
      <c r="BG74" s="742"/>
      <c r="BH74" s="742"/>
      <c r="BI74" s="742"/>
      <c r="BJ74" s="742"/>
      <c r="BK74" s="742"/>
      <c r="BL74" s="742"/>
      <c r="BM74" s="742"/>
      <c r="BN74" s="742"/>
      <c r="BO74" s="742"/>
      <c r="BP74" s="742"/>
      <c r="BQ74" s="742"/>
      <c r="BR74" s="742"/>
      <c r="BS74" s="742"/>
      <c r="BT74" s="742"/>
      <c r="BU74" s="742"/>
      <c r="BV74" s="742"/>
      <c r="BW74" s="742"/>
      <c r="BX74" s="742"/>
      <c r="BY74" s="742"/>
      <c r="BZ74" s="742"/>
      <c r="CA74" s="742"/>
      <c r="CB74" s="742"/>
      <c r="CC74" s="742"/>
      <c r="CD74" s="742"/>
      <c r="CE74" s="742"/>
      <c r="CF74" s="742"/>
      <c r="CG74" s="742"/>
      <c r="CH74" s="742"/>
      <c r="CI74" s="742"/>
      <c r="CJ74" s="742"/>
      <c r="CK74" s="742"/>
      <c r="CL74" s="742"/>
      <c r="CM74" s="742"/>
      <c r="CN74" s="742"/>
      <c r="CO74" s="742"/>
      <c r="CP74" s="742"/>
      <c r="CQ74" s="742"/>
      <c r="CR74" s="742"/>
      <c r="CS74" s="742"/>
      <c r="CT74" s="742"/>
      <c r="CU74" s="742"/>
      <c r="CV74" s="742"/>
      <c r="CW74" s="742"/>
      <c r="CX74" s="742"/>
      <c r="CY74" s="742"/>
      <c r="CZ74" s="742"/>
      <c r="DA74" s="742"/>
      <c r="DB74" s="742"/>
      <c r="DC74" s="742"/>
      <c r="DD74" s="742"/>
      <c r="DE74" s="742"/>
      <c r="DF74" s="742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</row>
    <row r="75" spans="1:168" s="607" customFormat="1" ht="13.2">
      <c r="A75" s="1601" t="s">
        <v>440</v>
      </c>
      <c r="B75" s="1485">
        <v>14</v>
      </c>
      <c r="C75" s="1506">
        <v>75</v>
      </c>
      <c r="D75" s="1485">
        <v>263</v>
      </c>
      <c r="E75" s="1503">
        <v>338</v>
      </c>
      <c r="F75" s="1674">
        <v>62</v>
      </c>
      <c r="G75" s="1674">
        <v>218</v>
      </c>
      <c r="H75" s="1675">
        <v>280</v>
      </c>
      <c r="I75" s="1692">
        <v>3</v>
      </c>
      <c r="J75" s="1692">
        <v>10</v>
      </c>
      <c r="K75" s="1693">
        <v>13</v>
      </c>
      <c r="L75" s="1485"/>
      <c r="M75" s="1485">
        <v>1</v>
      </c>
      <c r="N75" s="1488">
        <v>1</v>
      </c>
      <c r="P75" s="1595"/>
      <c r="Q75" s="1615"/>
      <c r="R75" s="1731"/>
      <c r="S75" s="1731"/>
      <c r="T75" s="1731"/>
      <c r="U75" s="742"/>
      <c r="V75" s="742"/>
      <c r="W75" s="742"/>
      <c r="X75" s="742"/>
      <c r="Y75" s="742"/>
      <c r="Z75" s="742"/>
      <c r="AA75" s="742"/>
      <c r="AB75" s="742"/>
      <c r="AC75" s="742"/>
      <c r="AD75" s="742"/>
      <c r="AE75" s="742"/>
      <c r="AF75" s="742"/>
      <c r="AG75" s="742"/>
      <c r="AH75" s="742"/>
      <c r="AI75" s="742"/>
      <c r="AJ75" s="742"/>
      <c r="AK75" s="742"/>
      <c r="AL75" s="742"/>
      <c r="AM75" s="742"/>
      <c r="AN75" s="742"/>
      <c r="AO75" s="742"/>
      <c r="AP75" s="742"/>
      <c r="AQ75" s="742"/>
      <c r="AR75" s="742"/>
      <c r="AS75" s="742"/>
      <c r="AT75" s="742"/>
      <c r="AU75" s="742"/>
      <c r="AV75" s="742"/>
      <c r="AW75" s="742"/>
      <c r="AX75" s="742"/>
      <c r="AY75" s="742"/>
      <c r="AZ75" s="742"/>
      <c r="BA75" s="742"/>
      <c r="BB75" s="742"/>
      <c r="BC75" s="742"/>
      <c r="BD75" s="742"/>
      <c r="BE75" s="742"/>
      <c r="BF75" s="742"/>
      <c r="BG75" s="742"/>
      <c r="BH75" s="742"/>
      <c r="BI75" s="742"/>
      <c r="BJ75" s="742"/>
      <c r="BK75" s="742"/>
      <c r="BL75" s="742"/>
      <c r="BM75" s="742"/>
      <c r="BN75" s="742"/>
      <c r="BO75" s="742"/>
      <c r="BP75" s="742"/>
      <c r="BQ75" s="742"/>
      <c r="BR75" s="742"/>
      <c r="BS75" s="742"/>
      <c r="BT75" s="742"/>
      <c r="BU75" s="742"/>
      <c r="BV75" s="742"/>
      <c r="BW75" s="742"/>
      <c r="BX75" s="742"/>
      <c r="BY75" s="742"/>
      <c r="BZ75" s="742"/>
      <c r="CA75" s="742"/>
      <c r="CB75" s="742"/>
      <c r="CC75" s="742"/>
      <c r="CD75" s="742"/>
      <c r="CE75" s="742"/>
      <c r="CF75" s="742"/>
      <c r="CG75" s="742"/>
      <c r="CH75" s="742"/>
      <c r="CI75" s="742"/>
      <c r="CJ75" s="742"/>
      <c r="CK75" s="742"/>
      <c r="CL75" s="742"/>
      <c r="CM75" s="742"/>
      <c r="CN75" s="742"/>
      <c r="CO75" s="742"/>
      <c r="CP75" s="742"/>
      <c r="CQ75" s="742"/>
      <c r="CR75" s="742"/>
      <c r="CS75" s="742"/>
      <c r="CT75" s="742"/>
      <c r="CU75" s="742"/>
      <c r="CV75" s="742"/>
      <c r="CW75" s="742"/>
      <c r="CX75" s="742"/>
      <c r="CY75" s="742"/>
      <c r="CZ75" s="742"/>
      <c r="DA75" s="742"/>
      <c r="DB75" s="742"/>
      <c r="DC75" s="742"/>
      <c r="DD75" s="742"/>
      <c r="DE75" s="742"/>
      <c r="DF75" s="742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</row>
    <row r="76" spans="1:168" s="607" customFormat="1" ht="13.2">
      <c r="A76" s="1601" t="s">
        <v>441</v>
      </c>
      <c r="B76" s="1485">
        <v>2</v>
      </c>
      <c r="C76" s="1506">
        <v>9</v>
      </c>
      <c r="D76" s="1485">
        <v>46</v>
      </c>
      <c r="E76" s="1503">
        <v>55</v>
      </c>
      <c r="F76" s="1674">
        <v>9</v>
      </c>
      <c r="G76" s="1674">
        <v>46</v>
      </c>
      <c r="H76" s="1675">
        <v>55</v>
      </c>
      <c r="I76" s="1692"/>
      <c r="J76" s="1692">
        <v>2</v>
      </c>
      <c r="K76" s="1693">
        <v>2</v>
      </c>
      <c r="L76" s="1485"/>
      <c r="M76" s="1485"/>
      <c r="N76" s="1488"/>
      <c r="P76" s="1595"/>
      <c r="Q76" s="1615"/>
      <c r="R76" s="1731"/>
      <c r="S76" s="1731"/>
      <c r="T76" s="1731"/>
      <c r="U76" s="742"/>
      <c r="V76" s="742"/>
    </row>
    <row r="77" spans="1:168" s="607" customFormat="1" ht="13.2">
      <c r="A77" s="1612" t="s">
        <v>776</v>
      </c>
      <c r="B77" s="1682">
        <v>90</v>
      </c>
      <c r="C77" s="1694">
        <v>1764</v>
      </c>
      <c r="D77" s="1682">
        <v>2057</v>
      </c>
      <c r="E77" s="1694">
        <v>3821</v>
      </c>
      <c r="F77" s="1695">
        <v>1095</v>
      </c>
      <c r="G77" s="1695">
        <v>1302</v>
      </c>
      <c r="H77" s="1695">
        <v>2397</v>
      </c>
      <c r="I77" s="1696">
        <v>33</v>
      </c>
      <c r="J77" s="1696">
        <v>48</v>
      </c>
      <c r="K77" s="1696">
        <v>81</v>
      </c>
      <c r="L77" s="1682">
        <v>2</v>
      </c>
      <c r="M77" s="1682">
        <v>5</v>
      </c>
      <c r="N77" s="1683">
        <v>7</v>
      </c>
      <c r="P77" s="1595"/>
      <c r="Q77" s="1615"/>
      <c r="R77" s="1731"/>
      <c r="S77" s="1731"/>
      <c r="T77" s="1731"/>
      <c r="U77" s="742"/>
      <c r="V77" s="742"/>
    </row>
    <row r="78" spans="1:168" s="607" customFormat="1" ht="13.2">
      <c r="A78" s="1601" t="s">
        <v>443</v>
      </c>
      <c r="B78" s="1485">
        <v>14</v>
      </c>
      <c r="C78" s="1506">
        <v>198</v>
      </c>
      <c r="D78" s="1485">
        <v>212</v>
      </c>
      <c r="E78" s="1503">
        <v>410</v>
      </c>
      <c r="F78" s="1674">
        <v>145</v>
      </c>
      <c r="G78" s="1674">
        <v>170</v>
      </c>
      <c r="H78" s="1675">
        <v>315</v>
      </c>
      <c r="I78" s="1692">
        <v>7</v>
      </c>
      <c r="J78" s="1692">
        <v>6</v>
      </c>
      <c r="K78" s="1693">
        <v>13</v>
      </c>
      <c r="L78" s="1485"/>
      <c r="M78" s="1485">
        <v>1</v>
      </c>
      <c r="N78" s="1488">
        <v>1</v>
      </c>
      <c r="P78" s="1595"/>
      <c r="Q78" s="1615"/>
      <c r="R78" s="1731"/>
      <c r="S78" s="1731"/>
      <c r="T78" s="1731"/>
      <c r="U78" s="742"/>
      <c r="V78" s="742"/>
    </row>
    <row r="79" spans="1:168" s="607" customFormat="1" ht="13.2">
      <c r="A79" s="1601" t="s">
        <v>444</v>
      </c>
      <c r="B79" s="1485">
        <v>20</v>
      </c>
      <c r="C79" s="1506">
        <v>394</v>
      </c>
      <c r="D79" s="1485">
        <v>460</v>
      </c>
      <c r="E79" s="1503">
        <v>854</v>
      </c>
      <c r="F79" s="1674">
        <v>333</v>
      </c>
      <c r="G79" s="1674">
        <v>392</v>
      </c>
      <c r="H79" s="1675">
        <v>725</v>
      </c>
      <c r="I79" s="1692">
        <v>7</v>
      </c>
      <c r="J79" s="1692">
        <v>11</v>
      </c>
      <c r="K79" s="1693">
        <v>18</v>
      </c>
      <c r="L79" s="1485">
        <v>2</v>
      </c>
      <c r="M79" s="1485"/>
      <c r="N79" s="1488">
        <v>2</v>
      </c>
      <c r="P79" s="1595"/>
      <c r="Q79" s="1615"/>
      <c r="R79" s="1731"/>
      <c r="S79" s="1731"/>
      <c r="T79" s="1731"/>
      <c r="U79" s="742"/>
      <c r="V79" s="742"/>
    </row>
    <row r="80" spans="1:168" s="607" customFormat="1" ht="13.2">
      <c r="A80" s="1601" t="s">
        <v>445</v>
      </c>
      <c r="B80" s="1485">
        <v>23</v>
      </c>
      <c r="C80" s="1506">
        <v>646</v>
      </c>
      <c r="D80" s="1485">
        <v>507</v>
      </c>
      <c r="E80" s="1503">
        <v>1153</v>
      </c>
      <c r="F80" s="1674">
        <v>541</v>
      </c>
      <c r="G80" s="1674">
        <v>415</v>
      </c>
      <c r="H80" s="1675">
        <v>956</v>
      </c>
      <c r="I80" s="1692">
        <v>13</v>
      </c>
      <c r="J80" s="1692">
        <v>6</v>
      </c>
      <c r="K80" s="1693">
        <v>19</v>
      </c>
      <c r="L80" s="1485">
        <v>2</v>
      </c>
      <c r="M80" s="1485">
        <v>1</v>
      </c>
      <c r="N80" s="1488">
        <v>3</v>
      </c>
      <c r="P80" s="1595"/>
      <c r="Q80" s="1615"/>
      <c r="R80" s="1731"/>
      <c r="S80" s="1731"/>
      <c r="T80" s="1731"/>
      <c r="U80" s="742"/>
      <c r="V80" s="742"/>
    </row>
    <row r="81" spans="1:22" s="607" customFormat="1" ht="13.2">
      <c r="A81" s="1601" t="s">
        <v>504</v>
      </c>
      <c r="B81" s="1485">
        <v>9</v>
      </c>
      <c r="C81" s="1506">
        <v>194</v>
      </c>
      <c r="D81" s="1485">
        <v>191</v>
      </c>
      <c r="E81" s="1503">
        <v>385</v>
      </c>
      <c r="F81" s="1674">
        <v>193</v>
      </c>
      <c r="G81" s="1674">
        <v>186</v>
      </c>
      <c r="H81" s="1675">
        <v>379</v>
      </c>
      <c r="I81" s="1692">
        <v>6</v>
      </c>
      <c r="J81" s="1692">
        <v>3</v>
      </c>
      <c r="K81" s="1693">
        <v>9</v>
      </c>
      <c r="L81" s="1485"/>
      <c r="M81" s="1485"/>
      <c r="N81" s="1488"/>
      <c r="P81" s="1595"/>
      <c r="Q81" s="1615"/>
      <c r="R81" s="1731"/>
      <c r="S81" s="1731"/>
      <c r="T81" s="1731"/>
      <c r="U81" s="742"/>
      <c r="V81" s="742"/>
    </row>
    <row r="82" spans="1:22" s="607" customFormat="1" ht="13.2">
      <c r="A82" s="1601" t="s">
        <v>446</v>
      </c>
      <c r="B82" s="1485">
        <v>8</v>
      </c>
      <c r="C82" s="1506">
        <v>196</v>
      </c>
      <c r="D82" s="1485">
        <v>168</v>
      </c>
      <c r="E82" s="1503">
        <v>364</v>
      </c>
      <c r="F82" s="1674">
        <v>181</v>
      </c>
      <c r="G82" s="1674">
        <v>151</v>
      </c>
      <c r="H82" s="1675">
        <v>332</v>
      </c>
      <c r="I82" s="1692">
        <v>4</v>
      </c>
      <c r="J82" s="1692">
        <v>4</v>
      </c>
      <c r="K82" s="1693">
        <v>8</v>
      </c>
      <c r="L82" s="1485"/>
      <c r="M82" s="1485"/>
      <c r="N82" s="1488"/>
      <c r="P82" s="1595"/>
      <c r="Q82" s="1615"/>
      <c r="R82" s="1731"/>
      <c r="S82" s="1731"/>
      <c r="T82" s="1731"/>
      <c r="U82" s="742"/>
      <c r="V82" s="742"/>
    </row>
    <row r="83" spans="1:22" s="607" customFormat="1" ht="13.2">
      <c r="A83" s="1612" t="s">
        <v>777</v>
      </c>
      <c r="B83" s="1682">
        <v>74</v>
      </c>
      <c r="C83" s="1694">
        <v>1628</v>
      </c>
      <c r="D83" s="1682">
        <v>1538</v>
      </c>
      <c r="E83" s="1694">
        <v>3166</v>
      </c>
      <c r="F83" s="1695">
        <v>1063</v>
      </c>
      <c r="G83" s="1695">
        <v>1023</v>
      </c>
      <c r="H83" s="1695">
        <v>2086</v>
      </c>
      <c r="I83" s="1696">
        <v>37</v>
      </c>
      <c r="J83" s="1696">
        <v>30</v>
      </c>
      <c r="K83" s="1696">
        <v>67</v>
      </c>
      <c r="L83" s="1682">
        <v>4</v>
      </c>
      <c r="M83" s="1682">
        <v>2</v>
      </c>
      <c r="N83" s="1683">
        <v>6</v>
      </c>
      <c r="P83" s="1595"/>
      <c r="Q83" s="1615"/>
      <c r="R83" s="1731"/>
      <c r="S83" s="1731"/>
      <c r="T83" s="1731"/>
      <c r="U83" s="742"/>
      <c r="V83" s="742"/>
    </row>
    <row r="84" spans="1:22" s="607" customFormat="1" ht="13.2">
      <c r="A84" s="1706" t="s">
        <v>778</v>
      </c>
      <c r="B84" s="1491">
        <v>49</v>
      </c>
      <c r="C84" s="1707">
        <v>872</v>
      </c>
      <c r="D84" s="1491">
        <v>1081</v>
      </c>
      <c r="E84" s="1708">
        <v>1953</v>
      </c>
      <c r="F84" s="1709">
        <v>625</v>
      </c>
      <c r="G84" s="1709">
        <v>800</v>
      </c>
      <c r="H84" s="1710">
        <v>1425</v>
      </c>
      <c r="I84" s="1711">
        <v>23</v>
      </c>
      <c r="J84" s="1711">
        <v>20</v>
      </c>
      <c r="K84" s="1712">
        <v>43</v>
      </c>
      <c r="L84" s="1491">
        <v>3</v>
      </c>
      <c r="M84" s="1491">
        <v>2</v>
      </c>
      <c r="N84" s="1492">
        <v>5</v>
      </c>
      <c r="P84" s="1595"/>
      <c r="Q84" s="1615"/>
      <c r="R84" s="1731"/>
      <c r="S84" s="1731"/>
      <c r="T84" s="1731"/>
      <c r="U84" s="742"/>
      <c r="V84" s="742"/>
    </row>
    <row r="85" spans="1:22" s="607" customFormat="1" ht="13.2">
      <c r="A85" s="1612" t="s">
        <v>779</v>
      </c>
      <c r="B85" s="1682">
        <v>49</v>
      </c>
      <c r="C85" s="1694">
        <v>872</v>
      </c>
      <c r="D85" s="1682">
        <v>1081</v>
      </c>
      <c r="E85" s="1694">
        <v>1953</v>
      </c>
      <c r="F85" s="1695">
        <v>625</v>
      </c>
      <c r="G85" s="1695">
        <v>800</v>
      </c>
      <c r="H85" s="1695">
        <v>1425</v>
      </c>
      <c r="I85" s="1696">
        <v>23</v>
      </c>
      <c r="J85" s="1696">
        <v>20</v>
      </c>
      <c r="K85" s="1696">
        <v>43</v>
      </c>
      <c r="L85" s="1682">
        <v>3</v>
      </c>
      <c r="M85" s="1682">
        <v>2</v>
      </c>
      <c r="N85" s="1683">
        <v>5</v>
      </c>
      <c r="P85" s="1595"/>
      <c r="Q85" s="1615"/>
      <c r="R85" s="1731"/>
      <c r="S85" s="1731"/>
      <c r="T85" s="1731"/>
      <c r="U85" s="742"/>
      <c r="V85" s="742"/>
    </row>
    <row r="86" spans="1:22" s="607" customFormat="1" ht="13.2">
      <c r="A86" s="1601" t="s">
        <v>182</v>
      </c>
      <c r="B86" s="1485">
        <v>23</v>
      </c>
      <c r="C86" s="1506">
        <v>423</v>
      </c>
      <c r="D86" s="1485">
        <v>382</v>
      </c>
      <c r="E86" s="1503">
        <v>805</v>
      </c>
      <c r="F86" s="1674">
        <v>389</v>
      </c>
      <c r="G86" s="1674">
        <v>337</v>
      </c>
      <c r="H86" s="1675">
        <v>726</v>
      </c>
      <c r="I86" s="1692">
        <v>8</v>
      </c>
      <c r="J86" s="1692">
        <v>12</v>
      </c>
      <c r="K86" s="1693">
        <v>20</v>
      </c>
      <c r="L86" s="1485">
        <v>2</v>
      </c>
      <c r="M86" s="1485">
        <v>1</v>
      </c>
      <c r="N86" s="1488">
        <v>3</v>
      </c>
      <c r="P86" s="1595"/>
      <c r="Q86" s="1615"/>
      <c r="R86" s="1731"/>
      <c r="S86" s="1731"/>
      <c r="T86" s="1731"/>
      <c r="U86" s="742"/>
      <c r="V86" s="742"/>
    </row>
    <row r="87" spans="1:22" s="607" customFormat="1" ht="13.2">
      <c r="A87" s="1601" t="s">
        <v>451</v>
      </c>
      <c r="B87" s="1485">
        <v>12</v>
      </c>
      <c r="C87" s="1506">
        <v>214</v>
      </c>
      <c r="D87" s="1485">
        <v>227</v>
      </c>
      <c r="E87" s="1503">
        <v>441</v>
      </c>
      <c r="F87" s="1674">
        <v>194</v>
      </c>
      <c r="G87" s="1674">
        <v>212</v>
      </c>
      <c r="H87" s="1675">
        <v>406</v>
      </c>
      <c r="I87" s="1692">
        <v>5</v>
      </c>
      <c r="J87" s="1692">
        <v>6</v>
      </c>
      <c r="K87" s="1693">
        <v>11</v>
      </c>
      <c r="L87" s="1485"/>
      <c r="M87" s="1485">
        <v>1</v>
      </c>
      <c r="N87" s="1488">
        <v>1</v>
      </c>
      <c r="P87" s="1595"/>
      <c r="Q87" s="1615"/>
      <c r="R87" s="1731"/>
      <c r="S87" s="1731"/>
      <c r="T87" s="1731"/>
      <c r="U87" s="742"/>
      <c r="V87" s="742"/>
    </row>
    <row r="88" spans="1:22" s="607" customFormat="1" ht="13.2">
      <c r="A88" s="1601" t="s">
        <v>452</v>
      </c>
      <c r="B88" s="1485">
        <v>20</v>
      </c>
      <c r="C88" s="1506">
        <v>280</v>
      </c>
      <c r="D88" s="1485">
        <v>290</v>
      </c>
      <c r="E88" s="1503">
        <v>570</v>
      </c>
      <c r="F88" s="1674">
        <v>263</v>
      </c>
      <c r="G88" s="1674">
        <v>257</v>
      </c>
      <c r="H88" s="1675">
        <v>520</v>
      </c>
      <c r="I88" s="1692">
        <v>6</v>
      </c>
      <c r="J88" s="1692">
        <v>10</v>
      </c>
      <c r="K88" s="1693">
        <v>16</v>
      </c>
      <c r="L88" s="1485">
        <v>1</v>
      </c>
      <c r="M88" s="1485"/>
      <c r="N88" s="1488">
        <v>1</v>
      </c>
      <c r="P88" s="1595"/>
      <c r="Q88" s="1615"/>
      <c r="R88" s="1731"/>
      <c r="S88" s="1731"/>
      <c r="T88" s="1731"/>
      <c r="U88" s="742"/>
      <c r="V88" s="742"/>
    </row>
    <row r="89" spans="1:22" s="607" customFormat="1" ht="13.2">
      <c r="A89" s="1605" t="s">
        <v>846</v>
      </c>
      <c r="B89" s="1698">
        <v>1</v>
      </c>
      <c r="C89" s="1699">
        <v>1</v>
      </c>
      <c r="D89" s="1698">
        <v>9</v>
      </c>
      <c r="E89" s="1700">
        <v>10</v>
      </c>
      <c r="F89" s="1701">
        <v>1</v>
      </c>
      <c r="G89" s="1701">
        <v>9</v>
      </c>
      <c r="H89" s="1702">
        <v>10</v>
      </c>
      <c r="I89" s="1703"/>
      <c r="J89" s="1703"/>
      <c r="K89" s="1704"/>
      <c r="L89" s="1698"/>
      <c r="M89" s="1698"/>
      <c r="N89" s="1705"/>
      <c r="P89" s="1595"/>
      <c r="Q89" s="1615"/>
      <c r="R89" s="1731"/>
      <c r="S89" s="1731"/>
      <c r="T89" s="1731"/>
      <c r="U89" s="742"/>
      <c r="V89" s="742"/>
    </row>
    <row r="90" spans="1:22" s="607" customFormat="1" ht="13.2">
      <c r="A90" s="1612" t="s">
        <v>780</v>
      </c>
      <c r="B90" s="1682">
        <v>56</v>
      </c>
      <c r="C90" s="1694">
        <v>918</v>
      </c>
      <c r="D90" s="1682">
        <v>908</v>
      </c>
      <c r="E90" s="1694">
        <v>1826</v>
      </c>
      <c r="F90" s="1695">
        <v>710</v>
      </c>
      <c r="G90" s="1695">
        <v>710</v>
      </c>
      <c r="H90" s="1695">
        <v>1420</v>
      </c>
      <c r="I90" s="1696">
        <v>19</v>
      </c>
      <c r="J90" s="1696">
        <v>28</v>
      </c>
      <c r="K90" s="1696">
        <v>47</v>
      </c>
      <c r="L90" s="1682">
        <v>3</v>
      </c>
      <c r="M90" s="1682">
        <v>2</v>
      </c>
      <c r="N90" s="1683">
        <v>5</v>
      </c>
      <c r="P90" s="1595"/>
      <c r="Q90" s="1615"/>
      <c r="R90" s="1731"/>
      <c r="S90" s="1731"/>
      <c r="T90" s="1731"/>
      <c r="U90" s="742"/>
      <c r="V90" s="742"/>
    </row>
    <row r="91" spans="1:22" s="607" customFormat="1" ht="13.2">
      <c r="A91" s="1601" t="s">
        <v>183</v>
      </c>
      <c r="B91" s="1485">
        <v>26</v>
      </c>
      <c r="C91" s="1506">
        <v>532</v>
      </c>
      <c r="D91" s="1485">
        <v>751</v>
      </c>
      <c r="E91" s="1503">
        <v>1283</v>
      </c>
      <c r="F91" s="1674">
        <v>465</v>
      </c>
      <c r="G91" s="1674">
        <v>675</v>
      </c>
      <c r="H91" s="1675">
        <v>1140</v>
      </c>
      <c r="I91" s="1692">
        <v>8</v>
      </c>
      <c r="J91" s="1692">
        <v>11</v>
      </c>
      <c r="K91" s="1693">
        <v>19</v>
      </c>
      <c r="L91" s="1485">
        <v>3</v>
      </c>
      <c r="M91" s="1485">
        <v>2</v>
      </c>
      <c r="N91" s="1488">
        <v>5</v>
      </c>
      <c r="P91" s="1595"/>
      <c r="Q91" s="1615"/>
      <c r="R91" s="1731"/>
      <c r="S91" s="1731"/>
      <c r="T91" s="1731"/>
      <c r="U91" s="742"/>
      <c r="V91" s="742"/>
    </row>
    <row r="92" spans="1:22" s="607" customFormat="1" ht="13.2">
      <c r="A92" s="1601" t="s">
        <v>454</v>
      </c>
      <c r="B92" s="1485">
        <v>9</v>
      </c>
      <c r="C92" s="1506">
        <v>136</v>
      </c>
      <c r="D92" s="1485">
        <v>126</v>
      </c>
      <c r="E92" s="1503">
        <v>262</v>
      </c>
      <c r="F92" s="1674">
        <v>123</v>
      </c>
      <c r="G92" s="1674">
        <v>115</v>
      </c>
      <c r="H92" s="1675">
        <v>238</v>
      </c>
      <c r="I92" s="1692">
        <v>3</v>
      </c>
      <c r="J92" s="1692">
        <v>5</v>
      </c>
      <c r="K92" s="1693">
        <v>8</v>
      </c>
      <c r="L92" s="1485">
        <v>1</v>
      </c>
      <c r="M92" s="1485"/>
      <c r="N92" s="1488">
        <v>1</v>
      </c>
      <c r="P92" s="1595"/>
      <c r="Q92" s="1615"/>
      <c r="R92" s="1731"/>
      <c r="S92" s="1731"/>
      <c r="T92" s="1731"/>
      <c r="U92" s="742"/>
      <c r="V92" s="742"/>
    </row>
    <row r="93" spans="1:22" s="607" customFormat="1" ht="13.2">
      <c r="A93" s="1612" t="s">
        <v>781</v>
      </c>
      <c r="B93" s="1682">
        <v>35</v>
      </c>
      <c r="C93" s="1694">
        <v>668</v>
      </c>
      <c r="D93" s="1682">
        <v>877</v>
      </c>
      <c r="E93" s="1694">
        <v>1545</v>
      </c>
      <c r="F93" s="1695">
        <v>541</v>
      </c>
      <c r="G93" s="1695">
        <v>734</v>
      </c>
      <c r="H93" s="1695">
        <v>1275</v>
      </c>
      <c r="I93" s="1696">
        <v>11</v>
      </c>
      <c r="J93" s="1696">
        <v>16</v>
      </c>
      <c r="K93" s="1696">
        <v>27</v>
      </c>
      <c r="L93" s="1682">
        <v>4</v>
      </c>
      <c r="M93" s="1682">
        <v>2</v>
      </c>
      <c r="N93" s="1683">
        <v>6</v>
      </c>
      <c r="P93" s="1595"/>
      <c r="Q93" s="1615"/>
      <c r="R93" s="1731"/>
      <c r="S93" s="1731"/>
      <c r="T93" s="1731"/>
      <c r="U93" s="742"/>
      <c r="V93" s="742"/>
    </row>
    <row r="94" spans="1:22" s="607" customFormat="1" ht="13.2">
      <c r="A94" s="1601" t="s">
        <v>456</v>
      </c>
      <c r="B94" s="1485">
        <v>16</v>
      </c>
      <c r="C94" s="1506">
        <v>299</v>
      </c>
      <c r="D94" s="1485">
        <v>511</v>
      </c>
      <c r="E94" s="1503">
        <v>810</v>
      </c>
      <c r="F94" s="1674">
        <v>229</v>
      </c>
      <c r="G94" s="1674">
        <v>379</v>
      </c>
      <c r="H94" s="1675">
        <v>608</v>
      </c>
      <c r="I94" s="1692">
        <v>4</v>
      </c>
      <c r="J94" s="1692">
        <v>12</v>
      </c>
      <c r="K94" s="1693">
        <v>16</v>
      </c>
      <c r="L94" s="1485"/>
      <c r="M94" s="1485"/>
      <c r="N94" s="1488"/>
      <c r="P94" s="1595"/>
      <c r="Q94" s="1615"/>
      <c r="R94" s="1731"/>
      <c r="S94" s="1731"/>
      <c r="T94" s="1731"/>
      <c r="U94" s="742"/>
      <c r="V94" s="742"/>
    </row>
    <row r="95" spans="1:22" s="607" customFormat="1" ht="13.2">
      <c r="A95" s="1601" t="s">
        <v>457</v>
      </c>
      <c r="B95" s="1485">
        <v>23</v>
      </c>
      <c r="C95" s="1506">
        <v>459</v>
      </c>
      <c r="D95" s="1485">
        <v>439</v>
      </c>
      <c r="E95" s="1503">
        <v>898</v>
      </c>
      <c r="F95" s="1674">
        <v>392</v>
      </c>
      <c r="G95" s="1674">
        <v>371</v>
      </c>
      <c r="H95" s="1675">
        <v>763</v>
      </c>
      <c r="I95" s="1692">
        <v>10</v>
      </c>
      <c r="J95" s="1692">
        <v>11</v>
      </c>
      <c r="K95" s="1693">
        <v>21</v>
      </c>
      <c r="L95" s="1485"/>
      <c r="M95" s="1485">
        <v>2</v>
      </c>
      <c r="N95" s="1488">
        <v>2</v>
      </c>
      <c r="P95" s="1595"/>
      <c r="Q95" s="1615"/>
      <c r="R95" s="1731"/>
      <c r="S95" s="1731"/>
      <c r="T95" s="1731"/>
      <c r="U95" s="742"/>
      <c r="V95" s="742"/>
    </row>
    <row r="96" spans="1:22" s="607" customFormat="1" ht="13.2">
      <c r="A96" s="1601" t="s">
        <v>719</v>
      </c>
      <c r="B96" s="1485">
        <v>2</v>
      </c>
      <c r="C96" s="1506">
        <v>9</v>
      </c>
      <c r="D96" s="1485">
        <v>48</v>
      </c>
      <c r="E96" s="1503">
        <v>57</v>
      </c>
      <c r="F96" s="1674">
        <v>9</v>
      </c>
      <c r="G96" s="1674">
        <v>48</v>
      </c>
      <c r="H96" s="1675">
        <v>57</v>
      </c>
      <c r="I96" s="1692"/>
      <c r="J96" s="1692">
        <v>2</v>
      </c>
      <c r="K96" s="1693">
        <v>2</v>
      </c>
      <c r="L96" s="1485"/>
      <c r="M96" s="1485"/>
      <c r="N96" s="1488"/>
      <c r="P96" s="1595"/>
      <c r="Q96" s="1615"/>
      <c r="R96" s="1731"/>
      <c r="S96" s="1731"/>
      <c r="T96" s="1731"/>
      <c r="U96" s="742"/>
      <c r="V96" s="742"/>
    </row>
    <row r="97" spans="1:22" s="607" customFormat="1" ht="13.2">
      <c r="A97" s="1612" t="s">
        <v>782</v>
      </c>
      <c r="B97" s="1682">
        <v>41</v>
      </c>
      <c r="C97" s="1694">
        <v>767</v>
      </c>
      <c r="D97" s="1682">
        <v>998</v>
      </c>
      <c r="E97" s="1694">
        <v>1765</v>
      </c>
      <c r="F97" s="1695">
        <v>589</v>
      </c>
      <c r="G97" s="1695">
        <v>719</v>
      </c>
      <c r="H97" s="1695">
        <v>1308</v>
      </c>
      <c r="I97" s="1696">
        <v>14</v>
      </c>
      <c r="J97" s="1696">
        <v>25</v>
      </c>
      <c r="K97" s="1696">
        <v>39</v>
      </c>
      <c r="L97" s="1682"/>
      <c r="M97" s="1682">
        <v>2</v>
      </c>
      <c r="N97" s="1683">
        <v>2</v>
      </c>
      <c r="P97" s="1595"/>
      <c r="Q97" s="1615"/>
      <c r="R97" s="1731"/>
      <c r="S97" s="1731"/>
      <c r="T97" s="1731"/>
      <c r="U97" s="742"/>
      <c r="V97" s="742"/>
    </row>
    <row r="98" spans="1:22" s="607" customFormat="1" ht="13.2">
      <c r="A98" s="1601" t="s">
        <v>458</v>
      </c>
      <c r="B98" s="1485">
        <v>3</v>
      </c>
      <c r="C98" s="1506">
        <v>24</v>
      </c>
      <c r="D98" s="1485">
        <v>45</v>
      </c>
      <c r="E98" s="1503">
        <v>69</v>
      </c>
      <c r="F98" s="1674">
        <v>24</v>
      </c>
      <c r="G98" s="1674">
        <v>45</v>
      </c>
      <c r="H98" s="1675">
        <v>69</v>
      </c>
      <c r="I98" s="1692">
        <v>1</v>
      </c>
      <c r="J98" s="1692">
        <v>1</v>
      </c>
      <c r="K98" s="1693">
        <v>2</v>
      </c>
      <c r="L98" s="1485"/>
      <c r="M98" s="1485">
        <v>1</v>
      </c>
      <c r="N98" s="1488">
        <v>1</v>
      </c>
      <c r="P98" s="1595"/>
      <c r="Q98" s="1615"/>
      <c r="R98" s="1731"/>
      <c r="S98" s="1731"/>
      <c r="T98" s="1731"/>
      <c r="U98" s="742"/>
      <c r="V98" s="742"/>
    </row>
    <row r="99" spans="1:22" s="607" customFormat="1" ht="13.2">
      <c r="A99" s="1628" t="s">
        <v>459</v>
      </c>
      <c r="B99" s="1485"/>
      <c r="C99" s="1506"/>
      <c r="D99" s="1485"/>
      <c r="E99" s="1503"/>
      <c r="F99" s="1674"/>
      <c r="G99" s="1674"/>
      <c r="H99" s="1675"/>
      <c r="I99" s="1692"/>
      <c r="J99" s="1692"/>
      <c r="K99" s="1693"/>
      <c r="L99" s="1485"/>
      <c r="M99" s="1485"/>
      <c r="N99" s="1488"/>
      <c r="O99" s="1615"/>
      <c r="P99" s="1595"/>
      <c r="Q99" s="1615"/>
      <c r="R99" s="1731"/>
      <c r="S99" s="1731"/>
      <c r="T99" s="1731"/>
      <c r="U99" s="742"/>
      <c r="V99" s="742"/>
    </row>
    <row r="100" spans="1:22" s="607" customFormat="1" ht="13.2">
      <c r="A100" s="1612" t="s">
        <v>783</v>
      </c>
      <c r="B100" s="1682">
        <v>3</v>
      </c>
      <c r="C100" s="1694">
        <v>24</v>
      </c>
      <c r="D100" s="1682">
        <v>45</v>
      </c>
      <c r="E100" s="1694">
        <v>69</v>
      </c>
      <c r="F100" s="1695">
        <v>24</v>
      </c>
      <c r="G100" s="1695">
        <v>45</v>
      </c>
      <c r="H100" s="1695">
        <v>69</v>
      </c>
      <c r="I100" s="1696">
        <v>1</v>
      </c>
      <c r="J100" s="1696">
        <v>1</v>
      </c>
      <c r="K100" s="1696">
        <v>2</v>
      </c>
      <c r="L100" s="1682"/>
      <c r="M100" s="1682">
        <v>1</v>
      </c>
      <c r="N100" s="1683">
        <v>1</v>
      </c>
      <c r="P100" s="1595"/>
      <c r="Q100" s="1615"/>
      <c r="R100" s="1731"/>
      <c r="S100" s="1731"/>
      <c r="T100" s="1731"/>
      <c r="U100" s="742"/>
      <c r="V100" s="742"/>
    </row>
    <row r="101" spans="1:22" s="607" customFormat="1" ht="13.2">
      <c r="A101" s="1601" t="s">
        <v>784</v>
      </c>
      <c r="B101" s="1485">
        <v>31</v>
      </c>
      <c r="C101" s="1506">
        <v>858</v>
      </c>
      <c r="D101" s="1485">
        <v>861</v>
      </c>
      <c r="E101" s="1503">
        <v>1719</v>
      </c>
      <c r="F101" s="1674">
        <v>546</v>
      </c>
      <c r="G101" s="1674">
        <v>541</v>
      </c>
      <c r="H101" s="1675">
        <v>1087</v>
      </c>
      <c r="I101" s="1692">
        <v>13</v>
      </c>
      <c r="J101" s="1692">
        <v>12</v>
      </c>
      <c r="K101" s="1693">
        <v>25</v>
      </c>
      <c r="L101" s="1485">
        <v>4</v>
      </c>
      <c r="M101" s="1485">
        <v>1</v>
      </c>
      <c r="N101" s="1488">
        <v>5</v>
      </c>
      <c r="P101" s="1615"/>
      <c r="Q101" s="1615" t="s">
        <v>919</v>
      </c>
      <c r="R101" s="1615">
        <v>1675</v>
      </c>
      <c r="S101" s="742">
        <v>1646</v>
      </c>
      <c r="T101" s="742">
        <v>3321</v>
      </c>
      <c r="U101" s="742"/>
      <c r="V101" s="742"/>
    </row>
    <row r="102" spans="1:22" s="607" customFormat="1" ht="13.2">
      <c r="A102" s="1601" t="s">
        <v>785</v>
      </c>
      <c r="B102" s="1485">
        <v>15</v>
      </c>
      <c r="C102" s="1506">
        <v>421</v>
      </c>
      <c r="D102" s="1485">
        <v>397</v>
      </c>
      <c r="E102" s="1503">
        <v>818</v>
      </c>
      <c r="F102" s="1674">
        <v>182</v>
      </c>
      <c r="G102" s="1674">
        <v>189</v>
      </c>
      <c r="H102" s="1675">
        <v>371</v>
      </c>
      <c r="I102" s="1692">
        <v>5</v>
      </c>
      <c r="J102" s="1692">
        <v>9</v>
      </c>
      <c r="K102" s="1693">
        <v>14</v>
      </c>
      <c r="L102" s="1485">
        <v>1</v>
      </c>
      <c r="M102" s="1485"/>
      <c r="N102" s="1488">
        <v>1</v>
      </c>
      <c r="P102" s="1615"/>
      <c r="Q102" s="1615" t="s">
        <v>920</v>
      </c>
      <c r="R102" s="1615">
        <v>448</v>
      </c>
      <c r="S102" s="742">
        <v>546</v>
      </c>
      <c r="T102" s="742">
        <v>994</v>
      </c>
      <c r="U102" s="742"/>
      <c r="V102" s="742"/>
    </row>
    <row r="103" spans="1:22" s="607" customFormat="1" ht="13.2">
      <c r="A103" s="1601" t="s">
        <v>786</v>
      </c>
      <c r="B103" s="1485">
        <v>13</v>
      </c>
      <c r="C103" s="1506">
        <v>378</v>
      </c>
      <c r="D103" s="1485">
        <v>226</v>
      </c>
      <c r="E103" s="1503">
        <v>604</v>
      </c>
      <c r="F103" s="1674">
        <v>332</v>
      </c>
      <c r="G103" s="1674">
        <v>211</v>
      </c>
      <c r="H103" s="1675">
        <v>543</v>
      </c>
      <c r="I103" s="1692">
        <v>8</v>
      </c>
      <c r="J103" s="1692">
        <v>3</v>
      </c>
      <c r="K103" s="1693">
        <v>11</v>
      </c>
      <c r="L103" s="1485">
        <v>1</v>
      </c>
      <c r="M103" s="1485"/>
      <c r="N103" s="1488">
        <v>1</v>
      </c>
      <c r="P103" s="1615"/>
      <c r="Q103" s="1615" t="s">
        <v>921</v>
      </c>
      <c r="R103" s="1615">
        <v>278</v>
      </c>
      <c r="S103" s="742">
        <v>359</v>
      </c>
      <c r="T103" s="742">
        <v>637</v>
      </c>
      <c r="U103" s="742"/>
      <c r="V103" s="742"/>
    </row>
    <row r="104" spans="1:22" s="607" customFormat="1" ht="13.2">
      <c r="A104" s="1601" t="s">
        <v>787</v>
      </c>
      <c r="B104" s="1485">
        <v>12</v>
      </c>
      <c r="C104" s="1506">
        <v>290</v>
      </c>
      <c r="D104" s="1485">
        <v>178</v>
      </c>
      <c r="E104" s="1503">
        <v>468</v>
      </c>
      <c r="F104" s="1674">
        <v>270</v>
      </c>
      <c r="G104" s="1674">
        <v>175</v>
      </c>
      <c r="H104" s="1675">
        <v>445</v>
      </c>
      <c r="I104" s="1692">
        <v>4</v>
      </c>
      <c r="J104" s="1692">
        <v>2</v>
      </c>
      <c r="K104" s="1693">
        <v>6</v>
      </c>
      <c r="L104" s="1485">
        <v>2</v>
      </c>
      <c r="M104" s="1485">
        <v>4</v>
      </c>
      <c r="N104" s="1488">
        <v>6</v>
      </c>
      <c r="P104" s="1615"/>
      <c r="Q104" s="1615" t="s">
        <v>922</v>
      </c>
      <c r="R104" s="1615">
        <v>831</v>
      </c>
      <c r="S104" s="742">
        <v>972</v>
      </c>
      <c r="T104" s="742">
        <v>1803</v>
      </c>
      <c r="U104" s="742"/>
      <c r="V104" s="742"/>
    </row>
    <row r="105" spans="1:22" s="607" customFormat="1" ht="13.2">
      <c r="A105" s="1601" t="s">
        <v>788</v>
      </c>
      <c r="B105" s="1485">
        <v>16</v>
      </c>
      <c r="C105" s="1506">
        <v>320</v>
      </c>
      <c r="D105" s="1485">
        <v>272</v>
      </c>
      <c r="E105" s="1503">
        <v>592</v>
      </c>
      <c r="F105" s="1674">
        <v>277</v>
      </c>
      <c r="G105" s="1674">
        <v>214</v>
      </c>
      <c r="H105" s="1675">
        <v>491</v>
      </c>
      <c r="I105" s="1692">
        <v>8</v>
      </c>
      <c r="J105" s="1692">
        <v>7</v>
      </c>
      <c r="K105" s="1693">
        <v>15</v>
      </c>
      <c r="L105" s="1485">
        <v>1</v>
      </c>
      <c r="M105" s="1485"/>
      <c r="N105" s="1488">
        <v>1</v>
      </c>
      <c r="P105" s="742"/>
      <c r="Q105" s="742" t="s">
        <v>923</v>
      </c>
      <c r="R105" s="1615">
        <v>357</v>
      </c>
      <c r="S105" s="742">
        <v>492</v>
      </c>
      <c r="T105" s="742">
        <v>849</v>
      </c>
      <c r="U105" s="742"/>
      <c r="V105" s="742"/>
    </row>
    <row r="106" spans="1:22" s="607" customFormat="1" ht="13.2">
      <c r="A106" s="1601" t="s">
        <v>789</v>
      </c>
      <c r="B106" s="1485">
        <v>27</v>
      </c>
      <c r="C106" s="1506">
        <v>62</v>
      </c>
      <c r="D106" s="1485">
        <v>125</v>
      </c>
      <c r="E106" s="1503">
        <v>187</v>
      </c>
      <c r="F106" s="1674">
        <v>62</v>
      </c>
      <c r="G106" s="1674">
        <v>120</v>
      </c>
      <c r="H106" s="1675">
        <v>182</v>
      </c>
      <c r="I106" s="1692">
        <v>12</v>
      </c>
      <c r="J106" s="1692">
        <v>15</v>
      </c>
      <c r="K106" s="1693">
        <v>27</v>
      </c>
      <c r="L106" s="1485"/>
      <c r="M106" s="1485"/>
      <c r="N106" s="1488"/>
      <c r="P106" s="742"/>
      <c r="Q106" s="742" t="s">
        <v>924</v>
      </c>
      <c r="R106" s="1615">
        <v>400</v>
      </c>
      <c r="S106" s="742">
        <v>529</v>
      </c>
      <c r="T106" s="742">
        <v>929</v>
      </c>
      <c r="U106" s="742"/>
      <c r="V106" s="742"/>
    </row>
    <row r="107" spans="1:22" s="607" customFormat="1" ht="13.2">
      <c r="A107" s="1601" t="s">
        <v>790</v>
      </c>
      <c r="B107" s="1485">
        <v>13</v>
      </c>
      <c r="C107" s="1506">
        <v>316</v>
      </c>
      <c r="D107" s="1485">
        <v>263</v>
      </c>
      <c r="E107" s="1503">
        <v>579</v>
      </c>
      <c r="F107" s="1674">
        <v>275</v>
      </c>
      <c r="G107" s="1674">
        <v>231</v>
      </c>
      <c r="H107" s="1675">
        <v>506</v>
      </c>
      <c r="I107" s="1692">
        <v>7</v>
      </c>
      <c r="J107" s="1692">
        <v>5</v>
      </c>
      <c r="K107" s="1693">
        <v>12</v>
      </c>
      <c r="L107" s="1485"/>
      <c r="M107" s="1485">
        <v>1</v>
      </c>
      <c r="N107" s="1488">
        <v>1</v>
      </c>
      <c r="P107" s="742"/>
      <c r="Q107" s="742" t="s">
        <v>925</v>
      </c>
      <c r="R107" s="1615">
        <v>789</v>
      </c>
      <c r="S107" s="742">
        <v>1163</v>
      </c>
      <c r="T107" s="742">
        <v>1952</v>
      </c>
      <c r="U107" s="742"/>
      <c r="V107" s="742"/>
    </row>
    <row r="108" spans="1:22" s="607" customFormat="1" ht="13.2">
      <c r="A108" s="1601" t="s">
        <v>696</v>
      </c>
      <c r="B108" s="1485">
        <v>11</v>
      </c>
      <c r="C108" s="1506">
        <v>258</v>
      </c>
      <c r="D108" s="1485">
        <v>397</v>
      </c>
      <c r="E108" s="1503">
        <v>655</v>
      </c>
      <c r="F108" s="1674">
        <v>214</v>
      </c>
      <c r="G108" s="1674">
        <v>331</v>
      </c>
      <c r="H108" s="1675">
        <v>545</v>
      </c>
      <c r="I108" s="1692">
        <v>2</v>
      </c>
      <c r="J108" s="1692">
        <v>8</v>
      </c>
      <c r="K108" s="1693">
        <v>10</v>
      </c>
      <c r="L108" s="1485"/>
      <c r="M108" s="1485">
        <v>1</v>
      </c>
      <c r="N108" s="1488">
        <v>1</v>
      </c>
      <c r="P108" s="1615"/>
      <c r="Q108" s="1615" t="s">
        <v>926</v>
      </c>
      <c r="R108" s="1615">
        <v>1143</v>
      </c>
      <c r="S108" s="742">
        <v>1418</v>
      </c>
      <c r="T108" s="742">
        <v>2561</v>
      </c>
      <c r="U108" s="742"/>
      <c r="V108" s="742"/>
    </row>
    <row r="109" spans="1:22" s="607" customFormat="1" ht="13.2">
      <c r="A109" s="1601" t="s">
        <v>462</v>
      </c>
      <c r="B109" s="1485">
        <v>6</v>
      </c>
      <c r="C109" s="1506">
        <v>16</v>
      </c>
      <c r="D109" s="1485">
        <v>99</v>
      </c>
      <c r="E109" s="1503">
        <v>115</v>
      </c>
      <c r="F109" s="1674">
        <v>13</v>
      </c>
      <c r="G109" s="1674">
        <v>80</v>
      </c>
      <c r="H109" s="1675">
        <v>93</v>
      </c>
      <c r="I109" s="1692"/>
      <c r="J109" s="1692">
        <v>4</v>
      </c>
      <c r="K109" s="1693">
        <v>4</v>
      </c>
      <c r="L109" s="1485"/>
      <c r="M109" s="1485"/>
      <c r="N109" s="1488"/>
      <c r="P109" s="1615"/>
      <c r="Q109" s="1615" t="s">
        <v>807</v>
      </c>
      <c r="R109" s="1615">
        <v>521</v>
      </c>
      <c r="S109" s="742">
        <v>469</v>
      </c>
      <c r="T109" s="742">
        <v>990</v>
      </c>
      <c r="U109" s="742"/>
      <c r="V109" s="742"/>
    </row>
    <row r="110" spans="1:22" s="607" customFormat="1" ht="13.2">
      <c r="A110" s="1601" t="s">
        <v>463</v>
      </c>
      <c r="B110" s="1485">
        <v>11</v>
      </c>
      <c r="C110" s="1506">
        <v>91</v>
      </c>
      <c r="D110" s="1485">
        <v>175</v>
      </c>
      <c r="E110" s="1503">
        <v>266</v>
      </c>
      <c r="F110" s="1674">
        <v>72</v>
      </c>
      <c r="G110" s="1674">
        <v>147</v>
      </c>
      <c r="H110" s="1675">
        <v>219</v>
      </c>
      <c r="I110" s="1692">
        <v>4</v>
      </c>
      <c r="J110" s="1692">
        <v>5</v>
      </c>
      <c r="K110" s="1693">
        <v>9</v>
      </c>
      <c r="L110" s="1485"/>
      <c r="M110" s="1485">
        <v>2</v>
      </c>
      <c r="N110" s="1488">
        <v>2</v>
      </c>
      <c r="P110" s="1615"/>
      <c r="Q110" s="1615" t="s">
        <v>808</v>
      </c>
      <c r="R110" s="1615">
        <v>197</v>
      </c>
      <c r="S110" s="742">
        <v>208</v>
      </c>
      <c r="T110" s="742">
        <v>405</v>
      </c>
      <c r="U110" s="742"/>
      <c r="V110" s="742"/>
    </row>
    <row r="111" spans="1:22" s="607" customFormat="1" ht="13.2">
      <c r="A111" s="1601" t="s">
        <v>464</v>
      </c>
      <c r="B111" s="1485">
        <v>4</v>
      </c>
      <c r="C111" s="1506">
        <v>91</v>
      </c>
      <c r="D111" s="1485">
        <v>88</v>
      </c>
      <c r="E111" s="1503">
        <v>179</v>
      </c>
      <c r="F111" s="1674">
        <v>90</v>
      </c>
      <c r="G111" s="1674">
        <v>88</v>
      </c>
      <c r="H111" s="1675">
        <v>178</v>
      </c>
      <c r="I111" s="1692">
        <v>2</v>
      </c>
      <c r="J111" s="1692">
        <v>1</v>
      </c>
      <c r="K111" s="1693">
        <v>3</v>
      </c>
      <c r="L111" s="1485"/>
      <c r="M111" s="1485">
        <v>1</v>
      </c>
      <c r="N111" s="1488">
        <v>1</v>
      </c>
      <c r="P111" s="1615"/>
      <c r="Q111" s="1615" t="s">
        <v>809</v>
      </c>
      <c r="R111" s="1615">
        <v>200</v>
      </c>
      <c r="S111" s="742">
        <v>180</v>
      </c>
      <c r="T111" s="742">
        <v>380</v>
      </c>
      <c r="U111" s="742"/>
      <c r="V111" s="742"/>
    </row>
    <row r="112" spans="1:22" s="607" customFormat="1" ht="13.2">
      <c r="A112" s="1612" t="s">
        <v>791</v>
      </c>
      <c r="B112" s="1682">
        <v>159</v>
      </c>
      <c r="C112" s="1694">
        <v>3101</v>
      </c>
      <c r="D112" s="1682">
        <v>3081</v>
      </c>
      <c r="E112" s="1694">
        <v>6182</v>
      </c>
      <c r="F112" s="1695">
        <v>1675</v>
      </c>
      <c r="G112" s="1695">
        <v>1646</v>
      </c>
      <c r="H112" s="1695">
        <v>3321</v>
      </c>
      <c r="I112" s="1696">
        <v>65</v>
      </c>
      <c r="J112" s="1696">
        <v>71</v>
      </c>
      <c r="K112" s="1696">
        <v>136</v>
      </c>
      <c r="L112" s="1682">
        <v>9</v>
      </c>
      <c r="M112" s="1682">
        <v>10</v>
      </c>
      <c r="N112" s="1683">
        <v>19</v>
      </c>
      <c r="P112" s="1615"/>
      <c r="Q112" s="1615" t="s">
        <v>810</v>
      </c>
      <c r="R112" s="1615">
        <v>21</v>
      </c>
      <c r="S112" s="742">
        <v>39</v>
      </c>
      <c r="T112" s="742">
        <v>60</v>
      </c>
      <c r="U112" s="742"/>
      <c r="V112" s="742"/>
    </row>
    <row r="113" spans="1:22" s="607" customFormat="1" ht="13.2">
      <c r="A113" s="1601" t="s">
        <v>186</v>
      </c>
      <c r="B113" s="1485">
        <v>29</v>
      </c>
      <c r="C113" s="1506">
        <v>468</v>
      </c>
      <c r="D113" s="1485">
        <v>449</v>
      </c>
      <c r="E113" s="1503">
        <v>917</v>
      </c>
      <c r="F113" s="1674">
        <v>403</v>
      </c>
      <c r="G113" s="1674">
        <v>407</v>
      </c>
      <c r="H113" s="1675">
        <v>810</v>
      </c>
      <c r="I113" s="1692">
        <v>10</v>
      </c>
      <c r="J113" s="1692">
        <v>16</v>
      </c>
      <c r="K113" s="1693">
        <v>26</v>
      </c>
      <c r="L113" s="1485"/>
      <c r="M113" s="1485">
        <v>1</v>
      </c>
      <c r="N113" s="1488">
        <v>1</v>
      </c>
      <c r="P113" s="1615"/>
      <c r="Q113" s="1615"/>
      <c r="R113" s="1615">
        <v>1370</v>
      </c>
      <c r="S113" s="742">
        <v>1255</v>
      </c>
      <c r="T113" s="742">
        <v>2625</v>
      </c>
      <c r="U113" s="742"/>
      <c r="V113" s="742"/>
    </row>
    <row r="114" spans="1:22" s="607" customFormat="1" ht="13.2">
      <c r="A114" s="1601" t="s">
        <v>468</v>
      </c>
      <c r="B114" s="1485">
        <v>3</v>
      </c>
      <c r="C114" s="1506">
        <v>37</v>
      </c>
      <c r="D114" s="1485">
        <v>87</v>
      </c>
      <c r="E114" s="1503">
        <v>124</v>
      </c>
      <c r="F114" s="1674">
        <v>37</v>
      </c>
      <c r="G114" s="1674">
        <v>87</v>
      </c>
      <c r="H114" s="1675">
        <v>124</v>
      </c>
      <c r="I114" s="1692"/>
      <c r="J114" s="1692">
        <v>2</v>
      </c>
      <c r="K114" s="1693">
        <v>2</v>
      </c>
      <c r="L114" s="1485"/>
      <c r="M114" s="1485">
        <v>1</v>
      </c>
      <c r="N114" s="1488">
        <v>1</v>
      </c>
      <c r="P114" s="1615"/>
      <c r="Q114" s="1615" t="s">
        <v>811</v>
      </c>
      <c r="R114" s="1615">
        <v>325</v>
      </c>
      <c r="S114" s="742">
        <v>304</v>
      </c>
      <c r="T114" s="742">
        <v>629</v>
      </c>
      <c r="U114" s="742"/>
      <c r="V114" s="742"/>
    </row>
    <row r="115" spans="1:22" s="607" customFormat="1" ht="13.2">
      <c r="A115" s="1601" t="s">
        <v>469</v>
      </c>
      <c r="B115" s="1485">
        <v>4</v>
      </c>
      <c r="C115" s="1506">
        <v>19</v>
      </c>
      <c r="D115" s="1485">
        <v>88</v>
      </c>
      <c r="E115" s="1503">
        <v>107</v>
      </c>
      <c r="F115" s="1674">
        <v>18</v>
      </c>
      <c r="G115" s="1674">
        <v>79</v>
      </c>
      <c r="H115" s="1675">
        <v>97</v>
      </c>
      <c r="I115" s="1692">
        <v>1</v>
      </c>
      <c r="J115" s="1692">
        <v>3</v>
      </c>
      <c r="K115" s="1693">
        <v>4</v>
      </c>
      <c r="L115" s="1485"/>
      <c r="M115" s="1485"/>
      <c r="N115" s="1488"/>
      <c r="P115" s="1615"/>
      <c r="Q115" s="1615"/>
      <c r="R115" s="1615">
        <v>325</v>
      </c>
      <c r="S115" s="742">
        <v>304</v>
      </c>
      <c r="T115" s="742">
        <v>629</v>
      </c>
      <c r="U115" s="742"/>
      <c r="V115" s="742"/>
    </row>
    <row r="116" spans="1:22" s="607" customFormat="1" ht="13.2">
      <c r="A116" s="1612" t="s">
        <v>792</v>
      </c>
      <c r="B116" s="1682">
        <v>36</v>
      </c>
      <c r="C116" s="1694">
        <v>524</v>
      </c>
      <c r="D116" s="1682">
        <v>624</v>
      </c>
      <c r="E116" s="1694">
        <v>1148</v>
      </c>
      <c r="F116" s="1695">
        <v>448</v>
      </c>
      <c r="G116" s="1695">
        <v>546</v>
      </c>
      <c r="H116" s="1695">
        <v>994</v>
      </c>
      <c r="I116" s="1696">
        <v>11</v>
      </c>
      <c r="J116" s="1696">
        <v>21</v>
      </c>
      <c r="K116" s="1696">
        <v>32</v>
      </c>
      <c r="L116" s="1682"/>
      <c r="M116" s="1682">
        <v>2</v>
      </c>
      <c r="N116" s="1683">
        <v>2</v>
      </c>
      <c r="P116" s="1615"/>
      <c r="Q116" s="1615" t="s">
        <v>812</v>
      </c>
      <c r="R116" s="1615">
        <v>154</v>
      </c>
      <c r="S116" s="742">
        <v>438</v>
      </c>
      <c r="T116" s="742">
        <v>592</v>
      </c>
      <c r="U116" s="742"/>
      <c r="V116" s="742"/>
    </row>
    <row r="117" spans="1:22" s="607" customFormat="1" ht="13.2">
      <c r="A117" s="1601" t="s">
        <v>187</v>
      </c>
      <c r="B117" s="1485">
        <v>26</v>
      </c>
      <c r="C117" s="1506">
        <v>358</v>
      </c>
      <c r="D117" s="1485">
        <v>417</v>
      </c>
      <c r="E117" s="1503">
        <v>775</v>
      </c>
      <c r="F117" s="1674">
        <v>258</v>
      </c>
      <c r="G117" s="1674">
        <v>329</v>
      </c>
      <c r="H117" s="1675">
        <v>587</v>
      </c>
      <c r="I117" s="1692">
        <v>12</v>
      </c>
      <c r="J117" s="1692">
        <v>12</v>
      </c>
      <c r="K117" s="1693">
        <v>24</v>
      </c>
      <c r="L117" s="1485"/>
      <c r="M117" s="1485">
        <v>1</v>
      </c>
      <c r="N117" s="1488">
        <v>1</v>
      </c>
      <c r="P117" s="1615"/>
      <c r="Q117" s="1615" t="s">
        <v>813</v>
      </c>
      <c r="R117" s="1615">
        <v>218</v>
      </c>
      <c r="S117" s="742">
        <v>278</v>
      </c>
      <c r="T117" s="742">
        <v>496</v>
      </c>
      <c r="U117" s="742"/>
      <c r="V117" s="742"/>
    </row>
    <row r="118" spans="1:22" s="607" customFormat="1" ht="13.2">
      <c r="A118" s="1601" t="s">
        <v>869</v>
      </c>
      <c r="B118" s="1485">
        <v>2</v>
      </c>
      <c r="C118" s="1506">
        <v>22</v>
      </c>
      <c r="D118" s="1485">
        <v>33</v>
      </c>
      <c r="E118" s="1503">
        <v>55</v>
      </c>
      <c r="F118" s="1674">
        <v>22</v>
      </c>
      <c r="G118" s="1674">
        <v>32</v>
      </c>
      <c r="H118" s="1675">
        <v>54</v>
      </c>
      <c r="I118" s="1692"/>
      <c r="J118" s="1692">
        <v>2</v>
      </c>
      <c r="K118" s="1693">
        <v>2</v>
      </c>
      <c r="L118" s="1485"/>
      <c r="M118" s="1485"/>
      <c r="N118" s="1488"/>
      <c r="P118" s="1615"/>
      <c r="Q118" s="1615" t="s">
        <v>814</v>
      </c>
      <c r="R118" s="1615">
        <v>250</v>
      </c>
      <c r="S118" s="742">
        <v>103</v>
      </c>
      <c r="T118" s="742">
        <v>353</v>
      </c>
      <c r="U118" s="742"/>
      <c r="V118" s="742"/>
    </row>
    <row r="119" spans="1:22" s="607" customFormat="1" ht="13.2">
      <c r="A119" s="1612" t="s">
        <v>793</v>
      </c>
      <c r="B119" s="1682">
        <v>28</v>
      </c>
      <c r="C119" s="1694">
        <v>380</v>
      </c>
      <c r="D119" s="1682">
        <v>450</v>
      </c>
      <c r="E119" s="1694">
        <v>830</v>
      </c>
      <c r="F119" s="1695">
        <v>278</v>
      </c>
      <c r="G119" s="1695">
        <v>359</v>
      </c>
      <c r="H119" s="1695">
        <v>637</v>
      </c>
      <c r="I119" s="1696">
        <v>12</v>
      </c>
      <c r="J119" s="1696">
        <v>14</v>
      </c>
      <c r="K119" s="1696">
        <v>26</v>
      </c>
      <c r="L119" s="1682"/>
      <c r="M119" s="1682">
        <v>1</v>
      </c>
      <c r="N119" s="1683">
        <v>1</v>
      </c>
      <c r="P119" s="1615"/>
      <c r="Q119" s="1615" t="s">
        <v>815</v>
      </c>
      <c r="R119" s="1615">
        <v>35</v>
      </c>
      <c r="S119" s="742">
        <v>175</v>
      </c>
      <c r="T119" s="742">
        <v>210</v>
      </c>
      <c r="U119" s="742"/>
      <c r="V119" s="742"/>
    </row>
    <row r="120" spans="1:22" s="607" customFormat="1" ht="13.2">
      <c r="A120" s="1601" t="s">
        <v>473</v>
      </c>
      <c r="B120" s="1485">
        <v>18</v>
      </c>
      <c r="C120" s="1506">
        <v>230</v>
      </c>
      <c r="D120" s="1485">
        <v>360</v>
      </c>
      <c r="E120" s="1503">
        <v>590</v>
      </c>
      <c r="F120" s="1674">
        <v>177</v>
      </c>
      <c r="G120" s="1674">
        <v>283</v>
      </c>
      <c r="H120" s="1675">
        <v>460</v>
      </c>
      <c r="I120" s="1692">
        <v>6</v>
      </c>
      <c r="J120" s="1692">
        <v>11</v>
      </c>
      <c r="K120" s="1693">
        <v>17</v>
      </c>
      <c r="L120" s="1485"/>
      <c r="M120" s="1485">
        <v>1</v>
      </c>
      <c r="N120" s="1488">
        <v>1</v>
      </c>
      <c r="P120" s="1615"/>
      <c r="Q120" s="1615" t="s">
        <v>816</v>
      </c>
      <c r="R120" s="1615">
        <v>215</v>
      </c>
      <c r="S120" s="742">
        <v>342</v>
      </c>
      <c r="T120" s="742">
        <v>557</v>
      </c>
      <c r="U120" s="742"/>
      <c r="V120" s="742"/>
    </row>
    <row r="121" spans="1:22" s="607" customFormat="1" ht="13.2">
      <c r="A121" s="1601" t="s">
        <v>474</v>
      </c>
      <c r="B121" s="1485">
        <v>16</v>
      </c>
      <c r="C121" s="1506">
        <v>407</v>
      </c>
      <c r="D121" s="1485">
        <v>326</v>
      </c>
      <c r="E121" s="1503">
        <v>733</v>
      </c>
      <c r="F121" s="1674">
        <v>384</v>
      </c>
      <c r="G121" s="1674">
        <v>307</v>
      </c>
      <c r="H121" s="1675">
        <v>691</v>
      </c>
      <c r="I121" s="1692">
        <v>8</v>
      </c>
      <c r="J121" s="1692">
        <v>6</v>
      </c>
      <c r="K121" s="1693">
        <v>14</v>
      </c>
      <c r="L121" s="1485"/>
      <c r="M121" s="1485">
        <v>1</v>
      </c>
      <c r="N121" s="1488">
        <v>1</v>
      </c>
      <c r="P121" s="1615"/>
      <c r="Q121" s="1615" t="s">
        <v>817</v>
      </c>
      <c r="R121" s="1615">
        <v>117</v>
      </c>
      <c r="S121" s="742">
        <v>116</v>
      </c>
      <c r="T121" s="742">
        <v>233</v>
      </c>
      <c r="U121" s="742"/>
      <c r="V121" s="742"/>
    </row>
    <row r="122" spans="1:22" s="607" customFormat="1" ht="13.2">
      <c r="A122" s="1601" t="s">
        <v>475</v>
      </c>
      <c r="B122" s="1485">
        <v>12</v>
      </c>
      <c r="C122" s="1506">
        <v>275</v>
      </c>
      <c r="D122" s="1485">
        <v>270</v>
      </c>
      <c r="E122" s="1503">
        <v>545</v>
      </c>
      <c r="F122" s="1674">
        <v>247</v>
      </c>
      <c r="G122" s="1674">
        <v>244</v>
      </c>
      <c r="H122" s="1675">
        <v>491</v>
      </c>
      <c r="I122" s="1692">
        <v>4</v>
      </c>
      <c r="J122" s="1692">
        <v>7</v>
      </c>
      <c r="K122" s="1693">
        <v>11</v>
      </c>
      <c r="L122" s="1485">
        <v>1</v>
      </c>
      <c r="M122" s="1485"/>
      <c r="N122" s="1488">
        <v>1</v>
      </c>
      <c r="P122" s="1615"/>
      <c r="Q122" s="1615"/>
      <c r="R122" s="1615">
        <v>989</v>
      </c>
      <c r="S122" s="742">
        <v>1452</v>
      </c>
      <c r="T122" s="742">
        <v>2441</v>
      </c>
      <c r="U122" s="742"/>
      <c r="V122" s="742"/>
    </row>
    <row r="123" spans="1:22" s="607" customFormat="1" ht="13.2">
      <c r="A123" s="1601" t="s">
        <v>476</v>
      </c>
      <c r="B123" s="1485">
        <v>7</v>
      </c>
      <c r="C123" s="1506">
        <v>113</v>
      </c>
      <c r="D123" s="1485">
        <v>181</v>
      </c>
      <c r="E123" s="1503">
        <v>294</v>
      </c>
      <c r="F123" s="1674">
        <v>100</v>
      </c>
      <c r="G123" s="1674">
        <v>169</v>
      </c>
      <c r="H123" s="1675">
        <v>269</v>
      </c>
      <c r="I123" s="1692">
        <v>4</v>
      </c>
      <c r="J123" s="1692">
        <v>1</v>
      </c>
      <c r="K123" s="1693">
        <v>5</v>
      </c>
      <c r="L123" s="1485">
        <v>2</v>
      </c>
      <c r="M123" s="1485"/>
      <c r="N123" s="1488">
        <v>2</v>
      </c>
      <c r="P123" s="1615"/>
      <c r="Q123" s="1615" t="s">
        <v>818</v>
      </c>
      <c r="R123" s="1615">
        <v>77</v>
      </c>
      <c r="S123" s="742">
        <v>92</v>
      </c>
      <c r="T123" s="742">
        <v>169</v>
      </c>
      <c r="U123" s="742"/>
      <c r="V123" s="742"/>
    </row>
    <row r="124" spans="1:22" s="607" customFormat="1" ht="13.2">
      <c r="A124" s="1601" t="s">
        <v>477</v>
      </c>
      <c r="B124" s="1485">
        <v>2</v>
      </c>
      <c r="C124" s="1506">
        <v>22</v>
      </c>
      <c r="D124" s="1485">
        <v>25</v>
      </c>
      <c r="E124" s="1503">
        <v>47</v>
      </c>
      <c r="F124" s="1674">
        <v>22</v>
      </c>
      <c r="G124" s="1674">
        <v>25</v>
      </c>
      <c r="H124" s="1675">
        <v>47</v>
      </c>
      <c r="I124" s="1692">
        <v>1</v>
      </c>
      <c r="J124" s="1692">
        <v>1</v>
      </c>
      <c r="K124" s="1693">
        <v>2</v>
      </c>
      <c r="L124" s="1485"/>
      <c r="M124" s="1485"/>
      <c r="N124" s="1488"/>
      <c r="P124" s="1615"/>
      <c r="Q124" s="1615"/>
      <c r="R124" s="1615">
        <v>77</v>
      </c>
      <c r="S124" s="742">
        <v>92</v>
      </c>
      <c r="T124" s="742">
        <v>169</v>
      </c>
      <c r="U124" s="742"/>
      <c r="V124" s="742"/>
    </row>
    <row r="125" spans="1:22" s="607" customFormat="1" ht="13.2">
      <c r="A125" s="1601" t="s">
        <v>478</v>
      </c>
      <c r="B125" s="1485">
        <v>4</v>
      </c>
      <c r="C125" s="1506">
        <v>27</v>
      </c>
      <c r="D125" s="1485">
        <v>124</v>
      </c>
      <c r="E125" s="1503">
        <v>151</v>
      </c>
      <c r="F125" s="1674">
        <v>27</v>
      </c>
      <c r="G125" s="1674">
        <v>120</v>
      </c>
      <c r="H125" s="1675">
        <v>147</v>
      </c>
      <c r="I125" s="1692">
        <v>3</v>
      </c>
      <c r="J125" s="1692">
        <v>1</v>
      </c>
      <c r="K125" s="1693">
        <v>4</v>
      </c>
      <c r="L125" s="1485"/>
      <c r="M125" s="1485"/>
      <c r="N125" s="1488"/>
      <c r="P125" s="1615"/>
      <c r="Q125" s="1615" t="s">
        <v>819</v>
      </c>
      <c r="R125" s="1615">
        <v>126</v>
      </c>
      <c r="S125" s="742">
        <v>274</v>
      </c>
      <c r="T125" s="742">
        <v>400</v>
      </c>
      <c r="U125" s="742"/>
      <c r="V125" s="742"/>
    </row>
    <row r="126" spans="1:22" s="607" customFormat="1" ht="13.2">
      <c r="A126" s="1713" t="s">
        <v>877</v>
      </c>
      <c r="B126" s="1698">
        <v>1</v>
      </c>
      <c r="C126" s="1699">
        <v>13</v>
      </c>
      <c r="D126" s="1698">
        <v>20</v>
      </c>
      <c r="E126" s="1700">
        <v>33</v>
      </c>
      <c r="F126" s="1701">
        <v>13</v>
      </c>
      <c r="G126" s="1701">
        <v>20</v>
      </c>
      <c r="H126" s="1702">
        <v>33</v>
      </c>
      <c r="I126" s="1703"/>
      <c r="J126" s="1703">
        <v>1</v>
      </c>
      <c r="K126" s="1704">
        <v>1</v>
      </c>
      <c r="L126" s="1698"/>
      <c r="M126" s="1698"/>
      <c r="N126" s="1705"/>
      <c r="P126" s="1615"/>
      <c r="Q126" s="1615" t="s">
        <v>820</v>
      </c>
      <c r="R126" s="1615">
        <v>45</v>
      </c>
      <c r="S126" s="742">
        <v>77</v>
      </c>
      <c r="T126" s="742">
        <v>122</v>
      </c>
      <c r="U126" s="742"/>
      <c r="V126" s="742"/>
    </row>
    <row r="127" spans="1:22" s="607" customFormat="1" ht="13.2">
      <c r="A127" s="1612" t="s">
        <v>795</v>
      </c>
      <c r="B127" s="1682">
        <v>60</v>
      </c>
      <c r="C127" s="1694">
        <v>1087</v>
      </c>
      <c r="D127" s="1682">
        <v>1306</v>
      </c>
      <c r="E127" s="1694">
        <v>2393</v>
      </c>
      <c r="F127" s="1695">
        <v>831</v>
      </c>
      <c r="G127" s="1695">
        <v>972</v>
      </c>
      <c r="H127" s="1695">
        <v>1803</v>
      </c>
      <c r="I127" s="1696">
        <v>26</v>
      </c>
      <c r="J127" s="1696">
        <v>28</v>
      </c>
      <c r="K127" s="1696">
        <v>54</v>
      </c>
      <c r="L127" s="1682">
        <v>3</v>
      </c>
      <c r="M127" s="1682">
        <v>2</v>
      </c>
      <c r="N127" s="1683">
        <v>5</v>
      </c>
      <c r="P127" s="1615"/>
      <c r="Q127" s="1615" t="s">
        <v>821</v>
      </c>
      <c r="R127" s="1615">
        <v>323</v>
      </c>
      <c r="S127" s="742">
        <v>282</v>
      </c>
      <c r="T127" s="742">
        <v>605</v>
      </c>
      <c r="U127" s="742"/>
      <c r="V127" s="742"/>
    </row>
    <row r="128" spans="1:22" s="607" customFormat="1" ht="13.2">
      <c r="A128" s="1601" t="s">
        <v>189</v>
      </c>
      <c r="B128" s="1485">
        <v>22</v>
      </c>
      <c r="C128" s="1506">
        <v>287</v>
      </c>
      <c r="D128" s="1485">
        <v>350</v>
      </c>
      <c r="E128" s="1503">
        <v>637</v>
      </c>
      <c r="F128" s="1674">
        <v>266</v>
      </c>
      <c r="G128" s="1674">
        <v>331</v>
      </c>
      <c r="H128" s="1675">
        <v>597</v>
      </c>
      <c r="I128" s="1692">
        <v>9</v>
      </c>
      <c r="J128" s="1692">
        <v>8</v>
      </c>
      <c r="K128" s="1693">
        <v>17</v>
      </c>
      <c r="L128" s="1485">
        <v>1</v>
      </c>
      <c r="M128" s="1485"/>
      <c r="N128" s="1488">
        <v>1</v>
      </c>
      <c r="P128" s="1615"/>
      <c r="Q128" s="1615" t="s">
        <v>822</v>
      </c>
      <c r="R128" s="1615">
        <v>236</v>
      </c>
      <c r="S128" s="742">
        <v>187</v>
      </c>
      <c r="T128" s="742">
        <v>423</v>
      </c>
      <c r="U128" s="742"/>
      <c r="V128" s="742"/>
    </row>
    <row r="129" spans="1:22" s="607" customFormat="1" ht="13.2">
      <c r="A129" s="1601" t="s">
        <v>480</v>
      </c>
      <c r="B129" s="1485">
        <v>3</v>
      </c>
      <c r="C129" s="1506">
        <v>78</v>
      </c>
      <c r="D129" s="1485">
        <v>106</v>
      </c>
      <c r="E129" s="1503">
        <v>184</v>
      </c>
      <c r="F129" s="1674">
        <v>77</v>
      </c>
      <c r="G129" s="1674">
        <v>104</v>
      </c>
      <c r="H129" s="1675">
        <v>181</v>
      </c>
      <c r="I129" s="1692">
        <v>2</v>
      </c>
      <c r="J129" s="1692"/>
      <c r="K129" s="1693">
        <v>2</v>
      </c>
      <c r="L129" s="1485">
        <v>1</v>
      </c>
      <c r="M129" s="1485"/>
      <c r="N129" s="1488">
        <v>1</v>
      </c>
      <c r="P129" s="1615"/>
      <c r="Q129" s="1615" t="s">
        <v>823</v>
      </c>
      <c r="R129" s="1615">
        <v>59</v>
      </c>
      <c r="S129" s="742">
        <v>99</v>
      </c>
      <c r="T129" s="742">
        <v>158</v>
      </c>
      <c r="U129" s="742"/>
      <c r="V129" s="742"/>
    </row>
    <row r="130" spans="1:22" s="607" customFormat="1" ht="13.2">
      <c r="A130" s="1706" t="s">
        <v>481</v>
      </c>
      <c r="B130" s="1491">
        <v>4</v>
      </c>
      <c r="C130" s="1707">
        <v>23</v>
      </c>
      <c r="D130" s="1491">
        <v>76</v>
      </c>
      <c r="E130" s="1708">
        <v>99</v>
      </c>
      <c r="F130" s="1709">
        <v>23</v>
      </c>
      <c r="G130" s="1709">
        <v>76</v>
      </c>
      <c r="H130" s="1710">
        <v>99</v>
      </c>
      <c r="I130" s="1711">
        <v>1</v>
      </c>
      <c r="J130" s="1711">
        <v>3</v>
      </c>
      <c r="K130" s="1712">
        <v>4</v>
      </c>
      <c r="L130" s="1491"/>
      <c r="M130" s="1491"/>
      <c r="N130" s="1492"/>
      <c r="P130" s="1615"/>
      <c r="Q130" s="1615" t="s">
        <v>824</v>
      </c>
      <c r="R130" s="1615">
        <v>109</v>
      </c>
      <c r="S130" s="742">
        <v>163</v>
      </c>
      <c r="T130" s="742">
        <v>272</v>
      </c>
      <c r="U130" s="742"/>
      <c r="V130" s="742"/>
    </row>
    <row r="131" spans="1:22" s="607" customFormat="1" ht="13.2">
      <c r="A131" s="1612" t="s">
        <v>796</v>
      </c>
      <c r="B131" s="1682">
        <v>29</v>
      </c>
      <c r="C131" s="1694">
        <v>388</v>
      </c>
      <c r="D131" s="1682">
        <v>532</v>
      </c>
      <c r="E131" s="1694">
        <v>920</v>
      </c>
      <c r="F131" s="1695">
        <v>357</v>
      </c>
      <c r="G131" s="1695">
        <v>492</v>
      </c>
      <c r="H131" s="1695">
        <v>849</v>
      </c>
      <c r="I131" s="1696">
        <v>12</v>
      </c>
      <c r="J131" s="1696">
        <v>11</v>
      </c>
      <c r="K131" s="1696">
        <v>23</v>
      </c>
      <c r="L131" s="1682">
        <v>2</v>
      </c>
      <c r="M131" s="1682"/>
      <c r="N131" s="1683">
        <v>2</v>
      </c>
      <c r="P131" s="1615"/>
      <c r="Q131" s="1615" t="s">
        <v>825</v>
      </c>
      <c r="R131" s="1615">
        <v>21</v>
      </c>
      <c r="S131" s="742">
        <v>57</v>
      </c>
      <c r="T131" s="742">
        <v>78</v>
      </c>
      <c r="U131" s="742"/>
      <c r="V131" s="742"/>
    </row>
    <row r="132" spans="1:22" s="607" customFormat="1" ht="13.2">
      <c r="A132" s="1601" t="s">
        <v>190</v>
      </c>
      <c r="B132" s="1485">
        <v>20</v>
      </c>
      <c r="C132" s="1506">
        <v>323</v>
      </c>
      <c r="D132" s="1485">
        <v>407</v>
      </c>
      <c r="E132" s="1503">
        <v>730</v>
      </c>
      <c r="F132" s="1674">
        <v>298</v>
      </c>
      <c r="G132" s="1674">
        <v>376</v>
      </c>
      <c r="H132" s="1675">
        <v>674</v>
      </c>
      <c r="I132" s="1692">
        <v>8</v>
      </c>
      <c r="J132" s="1692">
        <v>8</v>
      </c>
      <c r="K132" s="1693">
        <v>16</v>
      </c>
      <c r="L132" s="1485">
        <v>1</v>
      </c>
      <c r="M132" s="1485">
        <v>3</v>
      </c>
      <c r="N132" s="1488">
        <v>4</v>
      </c>
      <c r="P132" s="1615"/>
      <c r="Q132" s="1615" t="s">
        <v>826</v>
      </c>
      <c r="R132" s="1615">
        <v>89</v>
      </c>
      <c r="S132" s="742">
        <v>103</v>
      </c>
      <c r="T132" s="742">
        <v>192</v>
      </c>
      <c r="U132" s="742"/>
      <c r="V132" s="742"/>
    </row>
    <row r="133" spans="1:22" s="607" customFormat="1" ht="13.2">
      <c r="A133" s="1601" t="s">
        <v>483</v>
      </c>
      <c r="B133" s="1485">
        <v>5</v>
      </c>
      <c r="C133" s="1506">
        <v>69</v>
      </c>
      <c r="D133" s="1485">
        <v>99</v>
      </c>
      <c r="E133" s="1503">
        <v>168</v>
      </c>
      <c r="F133" s="1674">
        <v>63</v>
      </c>
      <c r="G133" s="1674">
        <v>91</v>
      </c>
      <c r="H133" s="1675">
        <v>154</v>
      </c>
      <c r="I133" s="1692">
        <v>1</v>
      </c>
      <c r="J133" s="1692">
        <v>2</v>
      </c>
      <c r="K133" s="1693">
        <v>3</v>
      </c>
      <c r="L133" s="1485">
        <v>1</v>
      </c>
      <c r="M133" s="1485">
        <v>1</v>
      </c>
      <c r="N133" s="1488">
        <v>2</v>
      </c>
      <c r="P133" s="1615"/>
      <c r="Q133" s="1615"/>
      <c r="R133" s="1615">
        <v>1008</v>
      </c>
      <c r="S133" s="742">
        <v>1242</v>
      </c>
      <c r="T133" s="742">
        <v>2250</v>
      </c>
      <c r="U133" s="742"/>
      <c r="V133" s="742"/>
    </row>
    <row r="134" spans="1:22" s="607" customFormat="1" ht="13.2">
      <c r="A134" s="1605" t="s">
        <v>484</v>
      </c>
      <c r="B134" s="1698">
        <v>6</v>
      </c>
      <c r="C134" s="1699">
        <v>49</v>
      </c>
      <c r="D134" s="1698">
        <v>90</v>
      </c>
      <c r="E134" s="1700">
        <v>139</v>
      </c>
      <c r="F134" s="1701">
        <v>47</v>
      </c>
      <c r="G134" s="1701">
        <v>82</v>
      </c>
      <c r="H134" s="1702">
        <v>129</v>
      </c>
      <c r="I134" s="1703">
        <v>2</v>
      </c>
      <c r="J134" s="1703">
        <v>3</v>
      </c>
      <c r="K134" s="1704">
        <v>5</v>
      </c>
      <c r="L134" s="1698"/>
      <c r="M134" s="1698"/>
      <c r="N134" s="1705"/>
      <c r="P134" s="1615"/>
      <c r="Q134" s="1615" t="s">
        <v>827</v>
      </c>
      <c r="R134" s="1615">
        <v>94</v>
      </c>
      <c r="S134" s="742">
        <v>176</v>
      </c>
      <c r="T134" s="742">
        <v>270</v>
      </c>
      <c r="U134" s="742"/>
      <c r="V134" s="742"/>
    </row>
    <row r="135" spans="1:22" s="607" customFormat="1" ht="13.2">
      <c r="A135" s="1612" t="s">
        <v>797</v>
      </c>
      <c r="B135" s="1682">
        <v>31</v>
      </c>
      <c r="C135" s="1694">
        <v>441</v>
      </c>
      <c r="D135" s="1682">
        <v>596</v>
      </c>
      <c r="E135" s="1694">
        <v>1037</v>
      </c>
      <c r="F135" s="1695">
        <v>400</v>
      </c>
      <c r="G135" s="1695">
        <v>529</v>
      </c>
      <c r="H135" s="1695">
        <v>929</v>
      </c>
      <c r="I135" s="1696">
        <v>11</v>
      </c>
      <c r="J135" s="1696">
        <v>13</v>
      </c>
      <c r="K135" s="1696">
        <v>24</v>
      </c>
      <c r="L135" s="1682">
        <v>2</v>
      </c>
      <c r="M135" s="1682">
        <v>4</v>
      </c>
      <c r="N135" s="1683">
        <v>6</v>
      </c>
      <c r="P135" s="1615"/>
      <c r="Q135" s="1615" t="s">
        <v>828</v>
      </c>
      <c r="R135" s="1615">
        <v>0</v>
      </c>
      <c r="S135" s="742">
        <v>17</v>
      </c>
      <c r="T135" s="742">
        <v>17</v>
      </c>
      <c r="U135" s="742"/>
      <c r="V135" s="742"/>
    </row>
    <row r="136" spans="1:22" s="607" customFormat="1" ht="13.2">
      <c r="A136" s="1628" t="s">
        <v>486</v>
      </c>
      <c r="B136" s="1502"/>
      <c r="C136" s="1501"/>
      <c r="D136" s="1502"/>
      <c r="E136" s="1509"/>
      <c r="F136" s="1602"/>
      <c r="G136" s="1602"/>
      <c r="H136" s="1603"/>
      <c r="I136" s="1507"/>
      <c r="J136" s="1507"/>
      <c r="K136" s="1508"/>
      <c r="L136" s="1502"/>
      <c r="M136" s="1502"/>
      <c r="N136" s="1604"/>
      <c r="O136" s="1615"/>
      <c r="P136" s="1615"/>
      <c r="Q136" s="1615"/>
      <c r="R136" s="1615">
        <v>94</v>
      </c>
      <c r="S136" s="742">
        <v>193</v>
      </c>
      <c r="T136" s="742">
        <v>287</v>
      </c>
      <c r="U136" s="742"/>
      <c r="V136" s="742"/>
    </row>
    <row r="137" spans="1:22" s="1654" customFormat="1" ht="13.2">
      <c r="A137" s="1601" t="s">
        <v>487</v>
      </c>
      <c r="B137" s="1485">
        <v>24</v>
      </c>
      <c r="C137" s="1506">
        <v>403</v>
      </c>
      <c r="D137" s="1485">
        <v>301</v>
      </c>
      <c r="E137" s="1503">
        <v>704</v>
      </c>
      <c r="F137" s="1674">
        <v>360</v>
      </c>
      <c r="G137" s="1674">
        <v>273</v>
      </c>
      <c r="H137" s="1675">
        <v>633</v>
      </c>
      <c r="I137" s="1692">
        <v>10</v>
      </c>
      <c r="J137" s="1692">
        <v>11</v>
      </c>
      <c r="K137" s="1693">
        <v>21</v>
      </c>
      <c r="L137" s="1485">
        <v>2</v>
      </c>
      <c r="M137" s="1485"/>
      <c r="N137" s="1488">
        <v>2</v>
      </c>
      <c r="P137" s="1615"/>
      <c r="Q137" s="1615"/>
      <c r="R137" s="1615"/>
      <c r="S137" s="742"/>
      <c r="T137" s="742"/>
      <c r="U137" s="742"/>
      <c r="V137" s="742"/>
    </row>
    <row r="138" spans="1:22" s="607" customFormat="1" ht="13.2">
      <c r="A138" s="1601" t="s">
        <v>488</v>
      </c>
      <c r="B138" s="1485">
        <v>23</v>
      </c>
      <c r="C138" s="1506">
        <v>298</v>
      </c>
      <c r="D138" s="1485">
        <v>607</v>
      </c>
      <c r="E138" s="1503">
        <v>905</v>
      </c>
      <c r="F138" s="1674">
        <v>267</v>
      </c>
      <c r="G138" s="1674">
        <v>548</v>
      </c>
      <c r="H138" s="1675">
        <v>815</v>
      </c>
      <c r="I138" s="1692">
        <v>7</v>
      </c>
      <c r="J138" s="1692">
        <v>16</v>
      </c>
      <c r="K138" s="1693">
        <v>23</v>
      </c>
      <c r="L138" s="1485"/>
      <c r="M138" s="1485"/>
      <c r="N138" s="1488"/>
      <c r="P138" s="1615"/>
      <c r="Q138" s="1615" t="s">
        <v>829</v>
      </c>
      <c r="R138" s="1615">
        <v>597</v>
      </c>
      <c r="S138" s="742">
        <v>522</v>
      </c>
      <c r="T138" s="742">
        <v>1119</v>
      </c>
      <c r="U138" s="742"/>
      <c r="V138" s="742"/>
    </row>
    <row r="139" spans="1:22" s="607" customFormat="1" ht="13.2">
      <c r="A139" s="1601" t="s">
        <v>489</v>
      </c>
      <c r="B139" s="1485">
        <v>7</v>
      </c>
      <c r="C139" s="1506">
        <v>53</v>
      </c>
      <c r="D139" s="1485">
        <v>170</v>
      </c>
      <c r="E139" s="1503">
        <v>223</v>
      </c>
      <c r="F139" s="1674">
        <v>49</v>
      </c>
      <c r="G139" s="1674">
        <v>159</v>
      </c>
      <c r="H139" s="1675">
        <v>208</v>
      </c>
      <c r="I139" s="1692">
        <v>2</v>
      </c>
      <c r="J139" s="1692">
        <v>4</v>
      </c>
      <c r="K139" s="1693">
        <v>6</v>
      </c>
      <c r="L139" s="1485"/>
      <c r="M139" s="1485">
        <v>1</v>
      </c>
      <c r="N139" s="1488">
        <v>1</v>
      </c>
      <c r="P139" s="1615"/>
      <c r="Q139" s="1615" t="s">
        <v>830</v>
      </c>
      <c r="R139" s="1615">
        <v>403</v>
      </c>
      <c r="S139" s="742">
        <v>366</v>
      </c>
      <c r="T139" s="742">
        <v>769</v>
      </c>
      <c r="U139" s="742"/>
      <c r="V139" s="742"/>
    </row>
    <row r="140" spans="1:22" s="607" customFormat="1" ht="13.2">
      <c r="A140" s="1601" t="s">
        <v>490</v>
      </c>
      <c r="B140" s="1485">
        <v>5</v>
      </c>
      <c r="C140" s="1506">
        <v>103</v>
      </c>
      <c r="D140" s="1485">
        <v>155</v>
      </c>
      <c r="E140" s="1503">
        <v>258</v>
      </c>
      <c r="F140" s="1674">
        <v>103</v>
      </c>
      <c r="G140" s="1674">
        <v>155</v>
      </c>
      <c r="H140" s="1675">
        <v>258</v>
      </c>
      <c r="I140" s="1692">
        <v>2</v>
      </c>
      <c r="J140" s="1692">
        <v>3</v>
      </c>
      <c r="K140" s="1693">
        <v>5</v>
      </c>
      <c r="L140" s="1485"/>
      <c r="M140" s="1485"/>
      <c r="N140" s="1488"/>
      <c r="P140" s="1615"/>
      <c r="Q140" s="1615" t="s">
        <v>831</v>
      </c>
      <c r="R140" s="1615">
        <v>247</v>
      </c>
      <c r="S140" s="742">
        <v>330</v>
      </c>
      <c r="T140" s="742">
        <v>577</v>
      </c>
      <c r="U140" s="742"/>
      <c r="V140" s="742"/>
    </row>
    <row r="141" spans="1:22" s="607" customFormat="1" ht="13.2">
      <c r="A141" s="1601" t="s">
        <v>565</v>
      </c>
      <c r="B141" s="1485">
        <v>2</v>
      </c>
      <c r="C141" s="1506">
        <v>61</v>
      </c>
      <c r="D141" s="1485">
        <v>63</v>
      </c>
      <c r="E141" s="1503">
        <v>124</v>
      </c>
      <c r="F141" s="1674">
        <v>60</v>
      </c>
      <c r="G141" s="1674">
        <v>62</v>
      </c>
      <c r="H141" s="1675">
        <v>122</v>
      </c>
      <c r="I141" s="1692"/>
      <c r="J141" s="1692">
        <v>1</v>
      </c>
      <c r="K141" s="1693">
        <v>1</v>
      </c>
      <c r="L141" s="1485"/>
      <c r="M141" s="1485">
        <v>1</v>
      </c>
      <c r="N141" s="1488">
        <v>1</v>
      </c>
      <c r="P141" s="1615"/>
      <c r="Q141" s="1615" t="s">
        <v>832</v>
      </c>
      <c r="R141" s="1615">
        <v>65</v>
      </c>
      <c r="S141" s="742">
        <v>93</v>
      </c>
      <c r="T141" s="742">
        <v>158</v>
      </c>
      <c r="U141" s="742"/>
      <c r="V141" s="742"/>
    </row>
    <row r="142" spans="1:22" s="607" customFormat="1" ht="13.2">
      <c r="A142" s="1601" t="s">
        <v>491</v>
      </c>
      <c r="B142" s="1485">
        <v>2</v>
      </c>
      <c r="C142" s="1506">
        <v>33</v>
      </c>
      <c r="D142" s="1485">
        <v>130</v>
      </c>
      <c r="E142" s="1503">
        <v>163</v>
      </c>
      <c r="F142" s="1674">
        <v>32</v>
      </c>
      <c r="G142" s="1674">
        <v>130</v>
      </c>
      <c r="H142" s="1675">
        <v>162</v>
      </c>
      <c r="I142" s="1692"/>
      <c r="J142" s="1692">
        <v>2</v>
      </c>
      <c r="K142" s="1693">
        <v>2</v>
      </c>
      <c r="L142" s="1485"/>
      <c r="M142" s="1485"/>
      <c r="N142" s="1488"/>
      <c r="P142" s="1615"/>
      <c r="Q142" s="1615" t="s">
        <v>833</v>
      </c>
      <c r="R142" s="1615">
        <v>18</v>
      </c>
      <c r="S142" s="742">
        <v>50</v>
      </c>
      <c r="T142" s="742">
        <v>68</v>
      </c>
      <c r="U142" s="742"/>
      <c r="V142" s="742"/>
    </row>
    <row r="143" spans="1:22" s="607" customFormat="1" ht="13.2">
      <c r="A143" s="1601" t="s">
        <v>492</v>
      </c>
      <c r="B143" s="1485">
        <v>2</v>
      </c>
      <c r="C143" s="1506">
        <v>2</v>
      </c>
      <c r="D143" s="1485">
        <v>32</v>
      </c>
      <c r="E143" s="1503">
        <v>34</v>
      </c>
      <c r="F143" s="1674">
        <v>2</v>
      </c>
      <c r="G143" s="1674">
        <v>32</v>
      </c>
      <c r="H143" s="1675">
        <v>34</v>
      </c>
      <c r="I143" s="1692"/>
      <c r="J143" s="1692">
        <v>2</v>
      </c>
      <c r="K143" s="1693">
        <v>2</v>
      </c>
      <c r="L143" s="1485"/>
      <c r="M143" s="1485"/>
      <c r="N143" s="1488"/>
      <c r="P143" s="1615"/>
      <c r="Q143" s="1615" t="s">
        <v>834</v>
      </c>
      <c r="R143" s="1615">
        <v>8</v>
      </c>
      <c r="S143" s="742">
        <v>48</v>
      </c>
      <c r="T143" s="742">
        <v>56</v>
      </c>
      <c r="U143" s="742"/>
      <c r="V143" s="742"/>
    </row>
    <row r="144" spans="1:22" s="607" customFormat="1" ht="13.2">
      <c r="A144" s="1612" t="s">
        <v>798</v>
      </c>
      <c r="B144" s="1682">
        <v>65</v>
      </c>
      <c r="C144" s="1694">
        <v>953</v>
      </c>
      <c r="D144" s="1682">
        <v>1458</v>
      </c>
      <c r="E144" s="1694">
        <v>2411</v>
      </c>
      <c r="F144" s="1695">
        <v>789</v>
      </c>
      <c r="G144" s="1695">
        <v>1163</v>
      </c>
      <c r="H144" s="1695">
        <v>1952</v>
      </c>
      <c r="I144" s="1696">
        <v>21</v>
      </c>
      <c r="J144" s="1696">
        <v>39</v>
      </c>
      <c r="K144" s="1696">
        <v>60</v>
      </c>
      <c r="L144" s="1682">
        <v>2</v>
      </c>
      <c r="M144" s="1682">
        <v>2</v>
      </c>
      <c r="N144" s="1683">
        <v>4</v>
      </c>
      <c r="P144" s="1615"/>
      <c r="Q144" s="1615" t="s">
        <v>835</v>
      </c>
      <c r="R144" s="1615">
        <v>62</v>
      </c>
      <c r="S144" s="742">
        <v>218</v>
      </c>
      <c r="T144" s="742">
        <v>280</v>
      </c>
      <c r="U144" s="742"/>
      <c r="V144" s="742"/>
    </row>
    <row r="145" spans="1:21" s="607" customFormat="1" ht="13.2">
      <c r="A145" s="1601" t="s">
        <v>494</v>
      </c>
      <c r="B145" s="1485">
        <v>37</v>
      </c>
      <c r="C145" s="1506">
        <v>1010</v>
      </c>
      <c r="D145" s="1485">
        <v>984</v>
      </c>
      <c r="E145" s="1503">
        <v>1994</v>
      </c>
      <c r="F145" s="1674">
        <v>761</v>
      </c>
      <c r="G145" s="1674">
        <v>745</v>
      </c>
      <c r="H145" s="1675">
        <v>1506</v>
      </c>
      <c r="I145" s="1692">
        <v>16</v>
      </c>
      <c r="J145" s="1692">
        <v>13</v>
      </c>
      <c r="K145" s="1693">
        <v>29</v>
      </c>
      <c r="L145" s="1485">
        <v>6</v>
      </c>
      <c r="M145" s="1485">
        <v>2</v>
      </c>
      <c r="N145" s="1488">
        <v>8</v>
      </c>
      <c r="P145" s="1615"/>
      <c r="Q145" s="1615" t="s">
        <v>836</v>
      </c>
      <c r="R145" s="1615">
        <v>9</v>
      </c>
      <c r="S145" s="742">
        <v>46</v>
      </c>
      <c r="T145" s="742">
        <v>55</v>
      </c>
      <c r="U145" s="742"/>
    </row>
    <row r="146" spans="1:21" s="607" customFormat="1" ht="13.2">
      <c r="A146" s="1601" t="s">
        <v>495</v>
      </c>
      <c r="B146" s="1485">
        <v>32</v>
      </c>
      <c r="C146" s="1506">
        <v>450</v>
      </c>
      <c r="D146" s="1485">
        <v>1003</v>
      </c>
      <c r="E146" s="1503">
        <v>1453</v>
      </c>
      <c r="F146" s="1674">
        <v>337</v>
      </c>
      <c r="G146" s="1674">
        <v>672</v>
      </c>
      <c r="H146" s="1675">
        <v>1009</v>
      </c>
      <c r="I146" s="1692">
        <v>9</v>
      </c>
      <c r="J146" s="1692">
        <v>22</v>
      </c>
      <c r="K146" s="1693">
        <v>31</v>
      </c>
      <c r="L146" s="1485"/>
      <c r="M146" s="1485">
        <v>1</v>
      </c>
      <c r="N146" s="1488">
        <v>1</v>
      </c>
      <c r="P146" s="1615"/>
      <c r="Q146" s="1615"/>
      <c r="R146" s="1615">
        <v>1409</v>
      </c>
      <c r="S146" s="742">
        <v>1673</v>
      </c>
      <c r="T146" s="742">
        <v>3082</v>
      </c>
      <c r="U146" s="742"/>
    </row>
    <row r="147" spans="1:21" s="607" customFormat="1" ht="13.2">
      <c r="A147" s="1601" t="s">
        <v>496</v>
      </c>
      <c r="B147" s="1485">
        <v>2</v>
      </c>
      <c r="C147" s="1506">
        <v>22</v>
      </c>
      <c r="D147" s="1485">
        <v>19</v>
      </c>
      <c r="E147" s="1503">
        <v>41</v>
      </c>
      <c r="F147" s="1674">
        <v>22</v>
      </c>
      <c r="G147" s="1674">
        <v>19</v>
      </c>
      <c r="H147" s="1675">
        <v>41</v>
      </c>
      <c r="I147" s="1692"/>
      <c r="J147" s="1692">
        <v>1</v>
      </c>
      <c r="K147" s="1693">
        <v>1</v>
      </c>
      <c r="L147" s="1485">
        <v>1</v>
      </c>
      <c r="M147" s="1485"/>
      <c r="N147" s="1488">
        <v>1</v>
      </c>
      <c r="P147" s="1615"/>
      <c r="Q147" s="1615" t="s">
        <v>837</v>
      </c>
      <c r="R147" s="1615">
        <v>145</v>
      </c>
      <c r="S147" s="742">
        <v>170</v>
      </c>
      <c r="T147" s="742">
        <v>315</v>
      </c>
      <c r="U147" s="742"/>
    </row>
    <row r="148" spans="1:21" s="607" customFormat="1" ht="13.2">
      <c r="A148" s="1601" t="s">
        <v>497</v>
      </c>
      <c r="B148" s="1485">
        <v>11</v>
      </c>
      <c r="C148" s="1506">
        <v>254</v>
      </c>
      <c r="D148" s="1485">
        <v>306</v>
      </c>
      <c r="E148" s="1503">
        <v>560</v>
      </c>
      <c r="F148" s="1674">
        <v>198</v>
      </c>
      <c r="G148" s="1674">
        <v>232</v>
      </c>
      <c r="H148" s="1675">
        <v>430</v>
      </c>
      <c r="I148" s="1692">
        <v>3</v>
      </c>
      <c r="J148" s="1692">
        <v>8</v>
      </c>
      <c r="K148" s="1693">
        <v>11</v>
      </c>
      <c r="L148" s="1485"/>
      <c r="M148" s="1485"/>
      <c r="N148" s="1488"/>
      <c r="P148" s="1615"/>
      <c r="Q148" s="1615" t="s">
        <v>838</v>
      </c>
      <c r="R148" s="1615">
        <v>333</v>
      </c>
      <c r="S148" s="742">
        <v>392</v>
      </c>
      <c r="T148" s="742">
        <v>725</v>
      </c>
    </row>
    <row r="149" spans="1:21" s="607" customFormat="1" ht="13.2">
      <c r="A149" s="1601" t="s">
        <v>498</v>
      </c>
      <c r="B149" s="1485">
        <v>1</v>
      </c>
      <c r="C149" s="1506">
        <v>17</v>
      </c>
      <c r="D149" s="1485">
        <v>27</v>
      </c>
      <c r="E149" s="1503">
        <v>44</v>
      </c>
      <c r="F149" s="1674">
        <v>17</v>
      </c>
      <c r="G149" s="1674">
        <v>27</v>
      </c>
      <c r="H149" s="1675">
        <v>44</v>
      </c>
      <c r="I149" s="1692"/>
      <c r="J149" s="1692"/>
      <c r="K149" s="1693"/>
      <c r="L149" s="1485"/>
      <c r="M149" s="1485">
        <v>1</v>
      </c>
      <c r="N149" s="1488">
        <v>1</v>
      </c>
      <c r="P149" s="1615"/>
      <c r="Q149" s="1615" t="s">
        <v>839</v>
      </c>
      <c r="R149" s="1615">
        <v>541</v>
      </c>
      <c r="S149" s="742">
        <v>415</v>
      </c>
      <c r="T149" s="742">
        <v>956</v>
      </c>
    </row>
    <row r="150" spans="1:21" s="607" customFormat="1" ht="13.2">
      <c r="A150" s="1714" t="s">
        <v>799</v>
      </c>
      <c r="B150" s="1491">
        <v>1</v>
      </c>
      <c r="C150" s="1707">
        <v>14</v>
      </c>
      <c r="D150" s="1491">
        <v>8</v>
      </c>
      <c r="E150" s="1708">
        <v>22</v>
      </c>
      <c r="F150" s="1709">
        <v>14</v>
      </c>
      <c r="G150" s="1709">
        <v>8</v>
      </c>
      <c r="H150" s="1710">
        <v>22</v>
      </c>
      <c r="I150" s="1711"/>
      <c r="J150" s="1692">
        <v>1</v>
      </c>
      <c r="K150" s="1693">
        <v>1</v>
      </c>
      <c r="L150" s="1491"/>
      <c r="M150" s="1491"/>
      <c r="N150" s="1492"/>
      <c r="P150" s="1615"/>
      <c r="Q150" s="1615" t="s">
        <v>840</v>
      </c>
      <c r="R150" s="1615">
        <v>193</v>
      </c>
      <c r="S150" s="742">
        <v>186</v>
      </c>
      <c r="T150" s="742">
        <v>379</v>
      </c>
    </row>
    <row r="151" spans="1:21" s="607" customFormat="1" ht="13.8" thickBot="1">
      <c r="A151" s="1648" t="s">
        <v>800</v>
      </c>
      <c r="B151" s="1715">
        <v>84</v>
      </c>
      <c r="C151" s="1716">
        <v>1767</v>
      </c>
      <c r="D151" s="1715">
        <v>2347</v>
      </c>
      <c r="E151" s="1716">
        <v>4114</v>
      </c>
      <c r="F151" s="1717">
        <v>1143</v>
      </c>
      <c r="G151" s="1717">
        <v>1418</v>
      </c>
      <c r="H151" s="1717">
        <v>2561</v>
      </c>
      <c r="I151" s="1718">
        <v>28</v>
      </c>
      <c r="J151" s="1718">
        <v>45</v>
      </c>
      <c r="K151" s="1718">
        <v>73</v>
      </c>
      <c r="L151" s="1715">
        <v>7</v>
      </c>
      <c r="M151" s="1715">
        <v>4</v>
      </c>
      <c r="N151" s="1719">
        <v>11</v>
      </c>
      <c r="P151" s="1615"/>
      <c r="Q151" s="1615" t="s">
        <v>841</v>
      </c>
      <c r="R151" s="1615">
        <v>181</v>
      </c>
      <c r="S151" s="742">
        <v>151</v>
      </c>
      <c r="T151" s="607">
        <v>332</v>
      </c>
    </row>
    <row r="152" spans="1:21" s="607" customFormat="1" ht="13.2">
      <c r="A152" s="1655"/>
      <c r="B152" s="1720"/>
      <c r="C152" s="1721"/>
      <c r="D152" s="1720"/>
      <c r="E152" s="1721"/>
      <c r="F152" s="1722"/>
      <c r="G152" s="1722"/>
      <c r="H152" s="1722"/>
      <c r="I152" s="1723"/>
      <c r="J152" s="1723"/>
      <c r="K152" s="1723"/>
      <c r="L152" s="1720"/>
      <c r="M152" s="1720"/>
      <c r="N152" s="1720"/>
      <c r="P152" s="1615"/>
      <c r="Q152" s="1615"/>
      <c r="R152" s="1615">
        <v>1393</v>
      </c>
      <c r="S152" s="742">
        <v>1314</v>
      </c>
      <c r="T152" s="607">
        <v>2707</v>
      </c>
    </row>
    <row r="153" spans="1:21" s="607" customFormat="1" ht="13.2">
      <c r="A153" s="1724" t="s">
        <v>382</v>
      </c>
      <c r="B153" s="1725">
        <f>B15+B18+B20+B24+B29+B31+B36+B38+B44+B46+B53+B55+B64+B67+B77+B83+B85+B90+B93+B97+B100+B112+B116+B119+B127+B131+B135+B144+B151</f>
        <v>1291</v>
      </c>
      <c r="C153" s="1726">
        <v>22692</v>
      </c>
      <c r="D153" s="1727">
        <v>27085</v>
      </c>
      <c r="E153" s="1726">
        <v>49777</v>
      </c>
      <c r="F153" s="1728">
        <v>4262</v>
      </c>
      <c r="G153" s="1728">
        <v>4958</v>
      </c>
      <c r="H153" s="1728">
        <v>9220</v>
      </c>
      <c r="I153" s="1728">
        <f>I15+I18+I24+I29+I31+I36+I38+I44+I46+I53+I55+I64+I67+I77+I83+I85+I90+I93+I97+I100+I112+I116+I119+I127+I131+I135+I144+I151</f>
        <v>494</v>
      </c>
      <c r="J153" s="1728">
        <f>J15+J18+J24+J29+J31+J36+J38+J44+J46+J53+J55+J64+J67+J77+J83+J85+J90+J93+J97+J100+J112+J116+J119+J127+J131+J135+J144+J151</f>
        <v>638</v>
      </c>
      <c r="K153" s="1728">
        <f>SUM(I153:J153)</f>
        <v>1132</v>
      </c>
      <c r="L153" s="1727">
        <f>L15+L18+L24+L29+L31+L36+L38+L44+L46+L53+L55+L64+L67+L77+L83+L85+L90+L93+L97+L100+L112+L116+L119+L127+L131+L135+L144+L151</f>
        <v>61</v>
      </c>
      <c r="M153" s="1727">
        <f>M15+M18+M24+M29+M31+M36+M38+M44+M46+M53+M55+M64+M67+M77+M83+M85+M90+M93+M97+M100+M112+M116+M119+M127+M131+M135+M144+M151</f>
        <v>56</v>
      </c>
      <c r="N153" s="1727">
        <f>SUM(L153:M153)</f>
        <v>117</v>
      </c>
      <c r="P153" s="1615"/>
      <c r="Q153" s="1615" t="s">
        <v>842</v>
      </c>
      <c r="R153" s="1615">
        <v>625</v>
      </c>
      <c r="S153" s="742">
        <v>800</v>
      </c>
      <c r="T153" s="607">
        <v>1425</v>
      </c>
    </row>
    <row r="154" spans="1:21" s="607" customFormat="1" ht="13.2">
      <c r="B154" s="1668"/>
      <c r="F154" s="1666"/>
      <c r="L154" s="1668"/>
      <c r="M154" s="1668"/>
      <c r="N154" s="1668"/>
      <c r="P154" s="1615"/>
      <c r="Q154" s="1615"/>
      <c r="R154" s="1615">
        <v>625</v>
      </c>
      <c r="S154" s="742">
        <v>800</v>
      </c>
      <c r="T154" s="607">
        <v>1425</v>
      </c>
    </row>
    <row r="155" spans="1:21" s="607" customFormat="1" ht="13.2">
      <c r="B155" s="1668"/>
      <c r="F155" s="1666"/>
      <c r="L155" s="1668"/>
      <c r="M155" s="1668"/>
      <c r="N155" s="1668"/>
      <c r="P155" s="1615"/>
      <c r="Q155" s="1615" t="s">
        <v>843</v>
      </c>
      <c r="R155" s="1615">
        <v>389</v>
      </c>
      <c r="S155" s="742">
        <v>337</v>
      </c>
      <c r="T155" s="607">
        <v>726</v>
      </c>
    </row>
    <row r="156" spans="1:21" s="607" customFormat="1" ht="13.2">
      <c r="B156" s="1668"/>
      <c r="F156" s="1666"/>
      <c r="L156" s="1668"/>
      <c r="M156" s="1668"/>
      <c r="N156" s="1668"/>
      <c r="P156" s="1615"/>
      <c r="Q156" s="1615" t="s">
        <v>844</v>
      </c>
      <c r="R156" s="1615">
        <v>194</v>
      </c>
      <c r="S156" s="742">
        <v>212</v>
      </c>
      <c r="T156" s="607">
        <v>406</v>
      </c>
    </row>
    <row r="157" spans="1:21" s="607" customFormat="1" ht="13.2">
      <c r="B157" s="1668"/>
      <c r="F157" s="1666"/>
      <c r="L157" s="1668"/>
      <c r="M157" s="1668"/>
      <c r="N157" s="1668"/>
      <c r="P157" s="1615"/>
      <c r="Q157" s="1615" t="s">
        <v>845</v>
      </c>
      <c r="R157" s="1615">
        <v>263</v>
      </c>
      <c r="S157" s="607">
        <v>257</v>
      </c>
      <c r="T157" s="607">
        <v>520</v>
      </c>
    </row>
    <row r="158" spans="1:21" s="607" customFormat="1" ht="13.2">
      <c r="B158" s="1668"/>
      <c r="F158" s="1666"/>
      <c r="L158" s="1668"/>
      <c r="M158" s="1668"/>
      <c r="N158" s="1668"/>
      <c r="P158" s="1615"/>
      <c r="Q158" s="1615" t="s">
        <v>847</v>
      </c>
      <c r="R158" s="1615">
        <v>1</v>
      </c>
      <c r="S158" s="607">
        <v>9</v>
      </c>
      <c r="T158" s="607">
        <v>10</v>
      </c>
    </row>
    <row r="159" spans="1:21" s="607" customFormat="1" ht="13.2">
      <c r="B159" s="1668"/>
      <c r="F159" s="1666"/>
      <c r="L159" s="1668"/>
      <c r="M159" s="1668"/>
      <c r="N159" s="1668"/>
      <c r="P159" s="1615"/>
      <c r="Q159" s="1615"/>
      <c r="R159" s="1615">
        <v>847</v>
      </c>
      <c r="S159" s="607">
        <v>815</v>
      </c>
      <c r="T159" s="607">
        <v>1662</v>
      </c>
    </row>
    <row r="160" spans="1:21" s="607" customFormat="1" ht="13.2">
      <c r="B160" s="1668"/>
      <c r="F160" s="1666"/>
      <c r="L160" s="1668"/>
      <c r="M160" s="1668"/>
      <c r="N160" s="1668"/>
      <c r="P160" s="1615"/>
      <c r="Q160" s="1615" t="s">
        <v>848</v>
      </c>
      <c r="R160" s="1615">
        <v>465</v>
      </c>
      <c r="S160" s="607">
        <v>675</v>
      </c>
      <c r="T160" s="607">
        <v>1140</v>
      </c>
    </row>
    <row r="161" spans="2:21" s="607" customFormat="1" ht="13.2">
      <c r="B161" s="1668"/>
      <c r="F161" s="1666"/>
      <c r="L161" s="1668"/>
      <c r="M161" s="1668"/>
      <c r="N161" s="1668"/>
      <c r="P161" s="1615"/>
      <c r="Q161" s="1615" t="s">
        <v>849</v>
      </c>
      <c r="R161" s="1615">
        <v>123</v>
      </c>
      <c r="S161" s="607">
        <v>115</v>
      </c>
      <c r="T161" s="607">
        <v>238</v>
      </c>
    </row>
    <row r="162" spans="2:21" s="607" customFormat="1" ht="13.2">
      <c r="B162" s="1668"/>
      <c r="F162" s="1666"/>
      <c r="L162" s="1668"/>
      <c r="M162" s="1668"/>
      <c r="N162" s="1668"/>
      <c r="P162" s="1615"/>
      <c r="Q162" s="1615"/>
      <c r="R162" s="1615">
        <v>588</v>
      </c>
      <c r="S162" s="607">
        <v>790</v>
      </c>
      <c r="T162" s="607">
        <v>1378</v>
      </c>
    </row>
    <row r="163" spans="2:21" s="607" customFormat="1" ht="13.2">
      <c r="B163" s="1668"/>
      <c r="F163" s="1666"/>
      <c r="L163" s="1668"/>
      <c r="M163" s="1668"/>
      <c r="N163" s="1668"/>
      <c r="P163" s="1615"/>
      <c r="Q163" s="1615" t="s">
        <v>850</v>
      </c>
      <c r="R163" s="1615">
        <v>229</v>
      </c>
      <c r="S163" s="607">
        <v>379</v>
      </c>
      <c r="T163" s="607">
        <v>608</v>
      </c>
    </row>
    <row r="164" spans="2:21" s="607" customFormat="1" ht="13.2">
      <c r="B164" s="1668"/>
      <c r="F164" s="1666"/>
      <c r="L164" s="1668"/>
      <c r="M164" s="1668"/>
      <c r="N164" s="1668"/>
      <c r="P164" s="1615"/>
      <c r="Q164" s="1615" t="s">
        <v>851</v>
      </c>
      <c r="R164" s="1615">
        <v>392</v>
      </c>
      <c r="S164" s="607">
        <v>371</v>
      </c>
      <c r="T164" s="607">
        <v>763</v>
      </c>
    </row>
    <row r="165" spans="2:21" s="607" customFormat="1" ht="13.2">
      <c r="B165" s="1668"/>
      <c r="F165" s="1666"/>
      <c r="L165" s="1668"/>
      <c r="M165" s="1668"/>
      <c r="N165" s="1668"/>
      <c r="P165" s="1615"/>
      <c r="Q165" s="1615" t="s">
        <v>852</v>
      </c>
      <c r="R165" s="1615">
        <v>9</v>
      </c>
      <c r="S165" s="607">
        <v>48</v>
      </c>
      <c r="T165" s="607">
        <v>57</v>
      </c>
    </row>
    <row r="166" spans="2:21" s="607" customFormat="1" ht="13.2">
      <c r="B166" s="1668"/>
      <c r="F166" s="1666"/>
      <c r="L166" s="1668"/>
      <c r="M166" s="1668"/>
      <c r="N166" s="1668"/>
      <c r="P166" s="1615"/>
      <c r="Q166" s="1615"/>
      <c r="R166" s="1615">
        <v>630</v>
      </c>
      <c r="S166" s="607">
        <v>798</v>
      </c>
      <c r="T166" s="607">
        <v>1428</v>
      </c>
    </row>
    <row r="167" spans="2:21" s="607" customFormat="1" ht="13.2">
      <c r="B167" s="1668"/>
      <c r="F167" s="1666"/>
      <c r="L167" s="1668"/>
      <c r="M167" s="1668"/>
      <c r="N167" s="1668"/>
      <c r="P167" s="1615"/>
      <c r="Q167" s="1615" t="s">
        <v>853</v>
      </c>
      <c r="R167" s="1615">
        <v>24</v>
      </c>
      <c r="S167" s="607">
        <v>45</v>
      </c>
      <c r="T167" s="607">
        <v>69</v>
      </c>
    </row>
    <row r="168" spans="2:21" s="607" customFormat="1" ht="13.2">
      <c r="B168" s="1668"/>
      <c r="F168" s="1666"/>
      <c r="L168" s="1668"/>
      <c r="M168" s="1668"/>
      <c r="N168" s="1668"/>
      <c r="P168" s="1615"/>
      <c r="Q168" s="1615"/>
      <c r="R168" s="1615"/>
      <c r="S168" s="1615"/>
      <c r="T168" s="1615"/>
      <c r="U168" s="1615"/>
    </row>
    <row r="169" spans="2:21" s="607" customFormat="1" ht="13.2">
      <c r="B169" s="1668"/>
      <c r="F169" s="1666"/>
      <c r="L169" s="1668"/>
      <c r="M169" s="1668"/>
      <c r="N169" s="1668"/>
      <c r="P169" s="1615"/>
      <c r="Q169" s="1615"/>
      <c r="R169" s="1615">
        <v>24</v>
      </c>
      <c r="S169" s="607">
        <v>45</v>
      </c>
      <c r="T169" s="607">
        <v>69</v>
      </c>
    </row>
    <row r="170" spans="2:21" s="607" customFormat="1" ht="13.2">
      <c r="B170" s="1668"/>
      <c r="F170" s="1666"/>
      <c r="L170" s="1668"/>
      <c r="M170" s="1668"/>
      <c r="N170" s="1668"/>
      <c r="P170" s="1615"/>
      <c r="Q170" s="1615" t="s">
        <v>854</v>
      </c>
      <c r="R170" s="1615">
        <v>546</v>
      </c>
      <c r="S170" s="607">
        <v>541</v>
      </c>
      <c r="T170" s="607">
        <v>1087</v>
      </c>
    </row>
    <row r="171" spans="2:21" s="607" customFormat="1" ht="13.2">
      <c r="B171" s="1668"/>
      <c r="F171" s="1666"/>
      <c r="L171" s="1668"/>
      <c r="M171" s="1668"/>
      <c r="N171" s="1668"/>
      <c r="P171" s="1615"/>
      <c r="Q171" s="1615" t="s">
        <v>855</v>
      </c>
      <c r="R171" s="1615">
        <v>182</v>
      </c>
      <c r="S171" s="607">
        <v>189</v>
      </c>
      <c r="T171" s="607">
        <v>371</v>
      </c>
    </row>
    <row r="172" spans="2:21" s="607" customFormat="1" ht="13.2">
      <c r="B172" s="1668"/>
      <c r="F172" s="1666"/>
      <c r="L172" s="1668"/>
      <c r="M172" s="1668"/>
      <c r="N172" s="1668"/>
      <c r="P172" s="1615"/>
      <c r="Q172" s="1615" t="s">
        <v>856</v>
      </c>
      <c r="R172" s="1615">
        <v>332</v>
      </c>
      <c r="S172" s="607">
        <v>211</v>
      </c>
      <c r="T172" s="607">
        <v>543</v>
      </c>
    </row>
    <row r="173" spans="2:21" s="607" customFormat="1" ht="13.2">
      <c r="B173" s="1668"/>
      <c r="F173" s="1666"/>
      <c r="L173" s="1668"/>
      <c r="M173" s="1668"/>
      <c r="N173" s="1668"/>
      <c r="P173" s="1615"/>
      <c r="Q173" s="1615" t="s">
        <v>857</v>
      </c>
      <c r="R173" s="1615">
        <v>270</v>
      </c>
      <c r="S173" s="607">
        <v>175</v>
      </c>
      <c r="T173" s="607">
        <v>445</v>
      </c>
    </row>
    <row r="174" spans="2:21" s="607" customFormat="1" ht="13.2">
      <c r="B174" s="1668"/>
      <c r="F174" s="1666"/>
      <c r="L174" s="1668"/>
      <c r="M174" s="1668"/>
      <c r="N174" s="1668"/>
      <c r="P174" s="1615"/>
      <c r="Q174" s="1615" t="s">
        <v>858</v>
      </c>
      <c r="R174" s="1615">
        <v>277</v>
      </c>
      <c r="S174" s="607">
        <v>214</v>
      </c>
      <c r="T174" s="607">
        <v>491</v>
      </c>
    </row>
    <row r="175" spans="2:21" s="607" customFormat="1" ht="13.2">
      <c r="B175" s="1668"/>
      <c r="F175" s="1666"/>
      <c r="L175" s="1668"/>
      <c r="M175" s="1668"/>
      <c r="N175" s="1668"/>
      <c r="P175" s="1615"/>
      <c r="Q175" s="1615" t="s">
        <v>859</v>
      </c>
      <c r="R175" s="1615">
        <v>62</v>
      </c>
      <c r="S175" s="607">
        <v>120</v>
      </c>
      <c r="T175" s="607">
        <v>182</v>
      </c>
    </row>
    <row r="176" spans="2:21" s="607" customFormat="1" ht="13.2">
      <c r="B176" s="1668"/>
      <c r="F176" s="1666"/>
      <c r="L176" s="1668"/>
      <c r="M176" s="1668"/>
      <c r="N176" s="1668"/>
      <c r="P176" s="1615"/>
      <c r="Q176" s="1615" t="s">
        <v>860</v>
      </c>
      <c r="R176" s="1615">
        <v>275</v>
      </c>
      <c r="S176" s="607">
        <v>231</v>
      </c>
      <c r="T176" s="607">
        <v>506</v>
      </c>
    </row>
    <row r="177" spans="2:20" s="607" customFormat="1" ht="13.2">
      <c r="B177" s="1668"/>
      <c r="F177" s="1666"/>
      <c r="L177" s="1668"/>
      <c r="M177" s="1668"/>
      <c r="N177" s="1668"/>
      <c r="P177" s="1615"/>
      <c r="Q177" s="1615" t="s">
        <v>861</v>
      </c>
      <c r="R177" s="1615">
        <v>214</v>
      </c>
      <c r="S177" s="607">
        <v>331</v>
      </c>
      <c r="T177" s="607">
        <v>545</v>
      </c>
    </row>
    <row r="178" spans="2:20" s="607" customFormat="1" ht="13.2">
      <c r="B178" s="1668"/>
      <c r="F178" s="1666"/>
      <c r="L178" s="1668"/>
      <c r="M178" s="1668"/>
      <c r="N178" s="1668"/>
      <c r="P178" s="1615"/>
      <c r="Q178" s="1615" t="s">
        <v>862</v>
      </c>
      <c r="R178" s="1615">
        <v>13</v>
      </c>
      <c r="S178" s="607">
        <v>80</v>
      </c>
      <c r="T178" s="607">
        <v>93</v>
      </c>
    </row>
    <row r="179" spans="2:20" s="607" customFormat="1" ht="13.2">
      <c r="B179" s="1668"/>
      <c r="F179" s="1666"/>
      <c r="L179" s="1668"/>
      <c r="M179" s="1668"/>
      <c r="N179" s="1668"/>
      <c r="P179" s="1615"/>
      <c r="Q179" s="1615" t="s">
        <v>863</v>
      </c>
      <c r="R179" s="1615">
        <v>72</v>
      </c>
      <c r="S179" s="607">
        <v>147</v>
      </c>
      <c r="T179" s="607">
        <v>219</v>
      </c>
    </row>
    <row r="180" spans="2:20" s="607" customFormat="1" ht="13.2">
      <c r="B180" s="1668"/>
      <c r="F180" s="1666"/>
      <c r="L180" s="1668"/>
      <c r="M180" s="1668"/>
      <c r="N180" s="1668"/>
      <c r="P180" s="1615"/>
      <c r="Q180" s="1615" t="s">
        <v>864</v>
      </c>
      <c r="R180" s="1615">
        <v>90</v>
      </c>
      <c r="S180" s="607">
        <v>88</v>
      </c>
      <c r="T180" s="607">
        <v>178</v>
      </c>
    </row>
    <row r="181" spans="2:20" s="607" customFormat="1" ht="13.2">
      <c r="B181" s="1668"/>
      <c r="F181" s="1666"/>
      <c r="L181" s="1668"/>
      <c r="M181" s="1668"/>
      <c r="N181" s="1668"/>
      <c r="P181" s="1615"/>
      <c r="Q181" s="1615"/>
      <c r="R181" s="1615">
        <v>2333</v>
      </c>
      <c r="S181" s="607">
        <v>2327</v>
      </c>
      <c r="T181" s="607">
        <v>4660</v>
      </c>
    </row>
    <row r="182" spans="2:20" s="607" customFormat="1" ht="13.2">
      <c r="B182" s="1668"/>
      <c r="F182" s="1666"/>
      <c r="L182" s="1668"/>
      <c r="M182" s="1668"/>
      <c r="N182" s="1668"/>
      <c r="P182" s="1615"/>
      <c r="Q182" s="1615" t="s">
        <v>865</v>
      </c>
      <c r="R182" s="1615">
        <v>403</v>
      </c>
      <c r="S182" s="607">
        <v>407</v>
      </c>
      <c r="T182" s="607">
        <v>810</v>
      </c>
    </row>
    <row r="183" spans="2:20" s="607" customFormat="1" ht="13.2">
      <c r="B183" s="1668"/>
      <c r="F183" s="1666"/>
      <c r="L183" s="1668"/>
      <c r="M183" s="1668"/>
      <c r="N183" s="1668"/>
      <c r="P183" s="1615"/>
      <c r="Q183" s="1615" t="s">
        <v>866</v>
      </c>
      <c r="R183" s="1615">
        <v>37</v>
      </c>
      <c r="S183" s="607">
        <v>87</v>
      </c>
      <c r="T183" s="607">
        <v>124</v>
      </c>
    </row>
    <row r="184" spans="2:20" s="607" customFormat="1" ht="13.2">
      <c r="B184" s="1668"/>
      <c r="F184" s="1666"/>
      <c r="L184" s="1668"/>
      <c r="M184" s="1668"/>
      <c r="N184" s="1668"/>
      <c r="P184" s="1615"/>
      <c r="Q184" s="1615" t="s">
        <v>867</v>
      </c>
      <c r="R184" s="1615">
        <v>18</v>
      </c>
      <c r="S184" s="607">
        <v>79</v>
      </c>
      <c r="T184" s="607">
        <v>97</v>
      </c>
    </row>
    <row r="185" spans="2:20" s="607" customFormat="1" ht="13.2">
      <c r="B185" s="1668"/>
      <c r="F185" s="1666"/>
      <c r="L185" s="1668"/>
      <c r="M185" s="1668"/>
      <c r="N185" s="1668"/>
      <c r="P185" s="1615"/>
      <c r="Q185" s="1615"/>
      <c r="R185" s="1615">
        <v>458</v>
      </c>
      <c r="S185" s="607">
        <v>573</v>
      </c>
      <c r="T185" s="607">
        <v>1031</v>
      </c>
    </row>
    <row r="186" spans="2:20" s="607" customFormat="1" ht="13.2">
      <c r="B186" s="1668"/>
      <c r="F186" s="1666"/>
      <c r="L186" s="1668"/>
      <c r="M186" s="1668"/>
      <c r="N186" s="1668"/>
      <c r="P186" s="1615"/>
      <c r="Q186" s="1615" t="s">
        <v>868</v>
      </c>
      <c r="R186" s="1615">
        <v>258</v>
      </c>
      <c r="S186" s="607">
        <v>329</v>
      </c>
      <c r="T186" s="607">
        <v>587</v>
      </c>
    </row>
    <row r="187" spans="2:20" s="607" customFormat="1" ht="13.2">
      <c r="B187" s="1668"/>
      <c r="F187" s="1666"/>
      <c r="L187" s="1668"/>
      <c r="M187" s="1668"/>
      <c r="N187" s="1668"/>
      <c r="P187" s="1615"/>
      <c r="Q187" s="1615" t="s">
        <v>870</v>
      </c>
      <c r="R187" s="1615">
        <v>22</v>
      </c>
      <c r="S187" s="607">
        <v>32</v>
      </c>
      <c r="T187" s="607">
        <v>54</v>
      </c>
    </row>
    <row r="188" spans="2:20" s="607" customFormat="1" ht="13.2">
      <c r="B188" s="1668"/>
      <c r="F188" s="1666"/>
      <c r="L188" s="1668"/>
      <c r="M188" s="1668"/>
      <c r="N188" s="1668"/>
      <c r="P188" s="1615"/>
      <c r="Q188" s="1615"/>
      <c r="R188" s="1615">
        <v>280</v>
      </c>
      <c r="S188" s="607">
        <v>361</v>
      </c>
      <c r="T188" s="607">
        <v>641</v>
      </c>
    </row>
    <row r="189" spans="2:20" s="607" customFormat="1" ht="13.2">
      <c r="B189" s="1668"/>
      <c r="F189" s="1666"/>
      <c r="L189" s="1668"/>
      <c r="M189" s="1668"/>
      <c r="N189" s="1668"/>
      <c r="P189" s="1615"/>
      <c r="Q189" s="1615" t="s">
        <v>871</v>
      </c>
      <c r="R189" s="1615">
        <v>177</v>
      </c>
      <c r="S189" s="607">
        <v>283</v>
      </c>
      <c r="T189" s="607">
        <v>460</v>
      </c>
    </row>
    <row r="190" spans="2:20" s="607" customFormat="1" ht="13.2">
      <c r="B190" s="1668"/>
      <c r="F190" s="1666"/>
      <c r="L190" s="1668"/>
      <c r="M190" s="1668"/>
      <c r="N190" s="1668"/>
      <c r="P190" s="1615"/>
      <c r="Q190" s="1615" t="s">
        <v>872</v>
      </c>
      <c r="R190" s="1615">
        <v>384</v>
      </c>
      <c r="S190" s="607">
        <v>307</v>
      </c>
      <c r="T190" s="607">
        <v>691</v>
      </c>
    </row>
    <row r="191" spans="2:20" s="607" customFormat="1" ht="13.2">
      <c r="B191" s="1668"/>
      <c r="F191" s="1666"/>
      <c r="L191" s="1668"/>
      <c r="M191" s="1668"/>
      <c r="N191" s="1668"/>
      <c r="P191" s="1615"/>
      <c r="Q191" s="1615" t="s">
        <v>873</v>
      </c>
      <c r="R191" s="1615">
        <v>247</v>
      </c>
      <c r="S191" s="607">
        <v>244</v>
      </c>
      <c r="T191" s="607">
        <v>491</v>
      </c>
    </row>
    <row r="192" spans="2:20" s="607" customFormat="1" ht="13.2">
      <c r="B192" s="1668"/>
      <c r="F192" s="1666"/>
      <c r="L192" s="1668"/>
      <c r="M192" s="1668"/>
      <c r="N192" s="1668"/>
      <c r="P192" s="1615"/>
      <c r="Q192" s="1615" t="s">
        <v>874</v>
      </c>
      <c r="R192" s="1615">
        <v>100</v>
      </c>
      <c r="S192" s="607">
        <v>169</v>
      </c>
      <c r="T192" s="607">
        <v>269</v>
      </c>
    </row>
    <row r="193" spans="2:22" s="607" customFormat="1" ht="13.2">
      <c r="B193" s="1668"/>
      <c r="F193" s="1666"/>
      <c r="L193" s="1668"/>
      <c r="M193" s="1668"/>
      <c r="N193" s="1668"/>
      <c r="P193" s="1615"/>
      <c r="Q193" s="1615" t="s">
        <v>875</v>
      </c>
      <c r="R193" s="1615">
        <v>22</v>
      </c>
      <c r="S193" s="607">
        <v>25</v>
      </c>
      <c r="T193" s="607">
        <v>47</v>
      </c>
    </row>
    <row r="194" spans="2:22" s="607" customFormat="1" ht="13.2">
      <c r="B194" s="1668"/>
      <c r="F194" s="1666"/>
      <c r="L194" s="1668"/>
      <c r="M194" s="1668"/>
      <c r="N194" s="1668"/>
      <c r="P194" s="1615"/>
      <c r="Q194" s="1615" t="s">
        <v>876</v>
      </c>
      <c r="R194" s="1615">
        <v>27</v>
      </c>
      <c r="S194" s="607">
        <v>120</v>
      </c>
      <c r="T194" s="607">
        <v>147</v>
      </c>
    </row>
    <row r="195" spans="2:22" s="607" customFormat="1" ht="13.2">
      <c r="B195" s="1668"/>
      <c r="F195" s="1666"/>
      <c r="L195" s="1668"/>
      <c r="M195" s="1668"/>
      <c r="N195" s="1668"/>
      <c r="P195" s="1615"/>
      <c r="Q195" s="1615" t="s">
        <v>878</v>
      </c>
      <c r="R195" s="1615">
        <v>13</v>
      </c>
      <c r="S195" s="607">
        <v>20</v>
      </c>
      <c r="T195" s="607">
        <v>33</v>
      </c>
    </row>
    <row r="196" spans="2:22" s="607" customFormat="1" ht="13.2">
      <c r="B196" s="1668"/>
      <c r="F196" s="1666"/>
      <c r="L196" s="1668"/>
      <c r="M196" s="1668"/>
      <c r="N196" s="1668"/>
      <c r="P196" s="1615"/>
      <c r="Q196" s="1615"/>
      <c r="R196" s="1615">
        <v>970</v>
      </c>
      <c r="S196" s="607">
        <v>1168</v>
      </c>
      <c r="T196" s="607">
        <v>2138</v>
      </c>
    </row>
    <row r="197" spans="2:22" s="607" customFormat="1" ht="13.2">
      <c r="B197" s="1668"/>
      <c r="F197" s="1666"/>
      <c r="L197" s="1668"/>
      <c r="M197" s="1668"/>
      <c r="N197" s="1668"/>
      <c r="P197" s="1615"/>
      <c r="Q197" s="1615" t="s">
        <v>879</v>
      </c>
      <c r="R197" s="1615">
        <v>266</v>
      </c>
      <c r="S197" s="607">
        <v>331</v>
      </c>
      <c r="T197" s="607">
        <v>597</v>
      </c>
    </row>
    <row r="198" spans="2:22" s="607" customFormat="1" ht="13.2">
      <c r="B198" s="1668"/>
      <c r="F198" s="1666"/>
      <c r="L198" s="1668"/>
      <c r="M198" s="1668"/>
      <c r="N198" s="1668"/>
      <c r="P198" s="1615"/>
      <c r="Q198" s="1615" t="s">
        <v>880</v>
      </c>
      <c r="R198" s="1615">
        <v>77</v>
      </c>
      <c r="S198" s="607">
        <v>104</v>
      </c>
      <c r="T198" s="607">
        <v>181</v>
      </c>
    </row>
    <row r="199" spans="2:22" s="607" customFormat="1" ht="13.2">
      <c r="B199" s="1668"/>
      <c r="F199" s="1666"/>
      <c r="L199" s="1668"/>
      <c r="M199" s="1668"/>
      <c r="N199" s="1668"/>
      <c r="P199" s="1615"/>
      <c r="Q199" s="1615" t="s">
        <v>881</v>
      </c>
      <c r="R199" s="1615">
        <v>23</v>
      </c>
      <c r="S199" s="607">
        <v>76</v>
      </c>
      <c r="T199" s="607">
        <v>99</v>
      </c>
    </row>
    <row r="200" spans="2:22" s="607" customFormat="1" ht="13.2">
      <c r="B200" s="1668"/>
      <c r="F200" s="1666"/>
      <c r="L200" s="1668"/>
      <c r="M200" s="1668"/>
      <c r="N200" s="1668"/>
      <c r="P200" s="1615"/>
      <c r="Q200" s="1615"/>
      <c r="R200" s="1615">
        <v>366</v>
      </c>
      <c r="S200" s="607">
        <v>511</v>
      </c>
      <c r="T200" s="607">
        <v>877</v>
      </c>
    </row>
    <row r="201" spans="2:22" s="607" customFormat="1" ht="13.2">
      <c r="B201" s="1668"/>
      <c r="F201" s="1666"/>
      <c r="L201" s="1668"/>
      <c r="M201" s="1668"/>
      <c r="N201" s="1668"/>
      <c r="P201" s="1615"/>
      <c r="Q201" s="1615" t="s">
        <v>882</v>
      </c>
      <c r="R201" s="1615">
        <v>298</v>
      </c>
      <c r="S201" s="607">
        <v>376</v>
      </c>
      <c r="T201" s="607">
        <v>674</v>
      </c>
    </row>
    <row r="202" spans="2:22" s="607" customFormat="1" ht="13.2">
      <c r="B202" s="1668"/>
      <c r="F202" s="1666"/>
      <c r="L202" s="1668"/>
      <c r="M202" s="1668"/>
      <c r="N202" s="1668"/>
      <c r="P202" s="1615"/>
      <c r="Q202" s="1615" t="s">
        <v>883</v>
      </c>
      <c r="R202" s="1615">
        <v>63</v>
      </c>
      <c r="S202" s="607">
        <v>91</v>
      </c>
      <c r="T202" s="607">
        <v>154</v>
      </c>
    </row>
    <row r="203" spans="2:22" s="607" customFormat="1" ht="13.2">
      <c r="B203" s="1668"/>
      <c r="F203" s="1666"/>
      <c r="L203" s="1668"/>
      <c r="M203" s="1668"/>
      <c r="N203" s="1668"/>
      <c r="P203" s="1615"/>
      <c r="Q203" s="1615" t="s">
        <v>884</v>
      </c>
      <c r="R203" s="1615">
        <v>47</v>
      </c>
      <c r="S203" s="607">
        <v>82</v>
      </c>
      <c r="T203" s="607">
        <v>129</v>
      </c>
    </row>
    <row r="204" spans="2:22" s="607" customFormat="1" ht="13.2">
      <c r="B204" s="1668"/>
      <c r="F204" s="1666"/>
      <c r="L204" s="1668"/>
      <c r="M204" s="1668"/>
      <c r="N204" s="1668"/>
      <c r="P204" s="1615"/>
      <c r="Q204" s="1615"/>
      <c r="R204" s="1615">
        <v>408</v>
      </c>
      <c r="S204" s="607">
        <v>549</v>
      </c>
      <c r="T204" s="607">
        <v>957</v>
      </c>
    </row>
    <row r="205" spans="2:22" s="607" customFormat="1" ht="13.2">
      <c r="B205" s="1668"/>
      <c r="F205" s="1666"/>
      <c r="L205" s="1668"/>
      <c r="M205" s="1668"/>
      <c r="N205" s="1668"/>
      <c r="P205" s="1615"/>
      <c r="Q205" s="1615"/>
      <c r="R205" s="1615"/>
      <c r="S205" s="1615"/>
      <c r="T205" s="1615"/>
      <c r="U205" s="1595"/>
    </row>
    <row r="206" spans="2:22" s="607" customFormat="1" ht="13.2">
      <c r="B206" s="1668"/>
      <c r="F206" s="1666"/>
      <c r="L206" s="1668"/>
      <c r="M206" s="1668"/>
      <c r="N206" s="1668"/>
      <c r="P206" s="1615"/>
      <c r="Q206" s="1615" t="s">
        <v>885</v>
      </c>
      <c r="R206" s="1615">
        <v>360</v>
      </c>
      <c r="S206" s="607">
        <v>273</v>
      </c>
      <c r="T206" s="607">
        <v>633</v>
      </c>
      <c r="V206" s="1654"/>
    </row>
    <row r="207" spans="2:22" s="607" customFormat="1" ht="13.2">
      <c r="B207" s="1668"/>
      <c r="F207" s="1666"/>
      <c r="L207" s="1668"/>
      <c r="M207" s="1668"/>
      <c r="N207" s="1668"/>
      <c r="P207" s="1615"/>
      <c r="Q207" s="1615" t="s">
        <v>886</v>
      </c>
      <c r="R207" s="1615">
        <v>267</v>
      </c>
      <c r="S207" s="607">
        <v>548</v>
      </c>
      <c r="T207" s="607">
        <v>815</v>
      </c>
    </row>
    <row r="208" spans="2:22" s="607" customFormat="1" ht="13.2">
      <c r="B208" s="1668"/>
      <c r="F208" s="1666"/>
      <c r="L208" s="1668"/>
      <c r="M208" s="1668"/>
      <c r="N208" s="1668"/>
      <c r="P208" s="1615"/>
      <c r="Q208" s="1615" t="s">
        <v>887</v>
      </c>
      <c r="R208" s="1615">
        <v>49</v>
      </c>
      <c r="S208" s="607">
        <v>159</v>
      </c>
      <c r="T208" s="607">
        <v>208</v>
      </c>
    </row>
    <row r="209" spans="2:21" s="607" customFormat="1" ht="13.2">
      <c r="B209" s="1668"/>
      <c r="F209" s="1666"/>
      <c r="L209" s="1668"/>
      <c r="M209" s="1668"/>
      <c r="N209" s="1668"/>
      <c r="P209" s="1615"/>
      <c r="Q209" s="1615" t="s">
        <v>888</v>
      </c>
      <c r="R209" s="1615">
        <v>103</v>
      </c>
      <c r="S209" s="607">
        <v>155</v>
      </c>
      <c r="T209" s="607">
        <v>258</v>
      </c>
      <c r="U209" s="1654"/>
    </row>
    <row r="210" spans="2:21" s="607" customFormat="1" ht="13.2">
      <c r="B210" s="1668"/>
      <c r="F210" s="1666"/>
      <c r="L210" s="1668"/>
      <c r="M210" s="1668"/>
      <c r="N210" s="1668"/>
      <c r="P210" s="1615"/>
      <c r="Q210" s="1615" t="s">
        <v>889</v>
      </c>
      <c r="R210" s="1615">
        <v>60</v>
      </c>
      <c r="S210" s="1654">
        <v>62</v>
      </c>
      <c r="T210" s="1654">
        <v>122</v>
      </c>
    </row>
    <row r="211" spans="2:21" s="607" customFormat="1" ht="13.2">
      <c r="B211" s="1668"/>
      <c r="F211" s="1666"/>
      <c r="L211" s="1668"/>
      <c r="M211" s="1668"/>
      <c r="N211" s="1668"/>
      <c r="P211" s="1615"/>
      <c r="Q211" s="1615" t="s">
        <v>890</v>
      </c>
      <c r="R211" s="1615">
        <v>32</v>
      </c>
      <c r="S211" s="607">
        <v>130</v>
      </c>
      <c r="T211" s="607">
        <v>162</v>
      </c>
    </row>
    <row r="212" spans="2:21" s="607" customFormat="1" ht="13.2">
      <c r="B212" s="1668"/>
      <c r="F212" s="1666"/>
      <c r="L212" s="1668"/>
      <c r="M212" s="1668"/>
      <c r="N212" s="1668"/>
      <c r="P212" s="1615"/>
      <c r="Q212" s="1615" t="s">
        <v>891</v>
      </c>
      <c r="R212" s="1615">
        <v>2</v>
      </c>
      <c r="S212" s="607">
        <v>32</v>
      </c>
      <c r="T212" s="607">
        <v>34</v>
      </c>
    </row>
    <row r="213" spans="2:21" s="607" customFormat="1" ht="13.2">
      <c r="B213" s="1668"/>
      <c r="F213" s="1666"/>
      <c r="L213" s="1668"/>
      <c r="M213" s="1668"/>
      <c r="N213" s="1668"/>
      <c r="P213" s="1615"/>
      <c r="Q213" s="1615"/>
      <c r="R213" s="1615">
        <v>873</v>
      </c>
      <c r="S213" s="607">
        <v>1359</v>
      </c>
      <c r="T213" s="607">
        <v>2232</v>
      </c>
    </row>
    <row r="214" spans="2:21" s="607" customFormat="1" ht="13.2">
      <c r="B214" s="1668"/>
      <c r="F214" s="1666"/>
      <c r="L214" s="1668"/>
      <c r="M214" s="1668"/>
      <c r="N214" s="1668"/>
      <c r="P214" s="1615"/>
      <c r="Q214" s="1615" t="s">
        <v>892</v>
      </c>
      <c r="R214" s="1615">
        <v>761</v>
      </c>
      <c r="S214" s="607">
        <v>745</v>
      </c>
      <c r="T214" s="607">
        <v>1506</v>
      </c>
    </row>
    <row r="215" spans="2:21" s="607" customFormat="1" ht="13.2">
      <c r="B215" s="1668"/>
      <c r="F215" s="1666"/>
      <c r="L215" s="1668"/>
      <c r="M215" s="1668"/>
      <c r="N215" s="1668"/>
      <c r="P215" s="1615"/>
      <c r="Q215" s="1615" t="s">
        <v>893</v>
      </c>
      <c r="R215" s="1615">
        <v>337</v>
      </c>
      <c r="S215" s="607">
        <v>672</v>
      </c>
      <c r="T215" s="607">
        <v>1009</v>
      </c>
    </row>
    <row r="216" spans="2:21" s="607" customFormat="1" ht="13.2">
      <c r="B216" s="1668"/>
      <c r="F216" s="1666"/>
      <c r="L216" s="1668"/>
      <c r="M216" s="1668"/>
      <c r="N216" s="1668"/>
      <c r="P216" s="1615"/>
      <c r="Q216" s="1615" t="s">
        <v>894</v>
      </c>
      <c r="R216" s="1615">
        <v>22</v>
      </c>
      <c r="S216" s="607">
        <v>19</v>
      </c>
      <c r="T216" s="607">
        <v>41</v>
      </c>
    </row>
    <row r="217" spans="2:21" s="607" customFormat="1" ht="13.2">
      <c r="B217" s="1668"/>
      <c r="F217" s="1666"/>
      <c r="L217" s="1668"/>
      <c r="M217" s="1668"/>
      <c r="N217" s="1668"/>
      <c r="P217" s="1615"/>
      <c r="Q217" s="1615" t="s">
        <v>895</v>
      </c>
      <c r="R217" s="1615">
        <v>198</v>
      </c>
      <c r="S217" s="607">
        <v>232</v>
      </c>
      <c r="T217" s="607">
        <v>430</v>
      </c>
    </row>
    <row r="218" spans="2:21" s="607" customFormat="1" ht="13.2">
      <c r="B218" s="1668"/>
      <c r="F218" s="1666"/>
      <c r="L218" s="1668"/>
      <c r="M218" s="1668"/>
      <c r="N218" s="1668"/>
      <c r="P218" s="1615"/>
      <c r="Q218" s="1615" t="s">
        <v>896</v>
      </c>
      <c r="R218" s="1615">
        <v>17</v>
      </c>
      <c r="S218" s="607">
        <v>27</v>
      </c>
      <c r="T218" s="607">
        <v>44</v>
      </c>
    </row>
    <row r="219" spans="2:21" s="607" customFormat="1" ht="13.2">
      <c r="B219" s="1668"/>
      <c r="F219" s="1666"/>
      <c r="L219" s="1668"/>
      <c r="M219" s="1668"/>
      <c r="N219" s="1668"/>
      <c r="P219" s="1615"/>
      <c r="Q219" s="1615" t="s">
        <v>897</v>
      </c>
      <c r="R219" s="1615">
        <v>14</v>
      </c>
      <c r="S219" s="607">
        <v>8</v>
      </c>
      <c r="T219" s="607">
        <v>22</v>
      </c>
    </row>
    <row r="220" spans="2:21" s="607" customFormat="1" ht="13.2">
      <c r="B220" s="1668"/>
      <c r="F220" s="1666"/>
      <c r="L220" s="1668"/>
      <c r="M220" s="1668"/>
      <c r="N220" s="1668"/>
      <c r="P220" s="1615"/>
      <c r="Q220" s="1615"/>
      <c r="R220" s="1615">
        <v>1349</v>
      </c>
      <c r="S220" s="607">
        <v>1703</v>
      </c>
      <c r="T220" s="607">
        <v>3052</v>
      </c>
    </row>
    <row r="221" spans="2:21" s="607" customFormat="1" ht="13.2">
      <c r="B221" s="1668"/>
      <c r="F221" s="1666"/>
      <c r="L221" s="1668"/>
      <c r="M221" s="1668"/>
      <c r="N221" s="1668"/>
      <c r="P221" s="1615"/>
      <c r="Q221" s="1615"/>
      <c r="R221" s="1615">
        <v>18890</v>
      </c>
      <c r="S221" s="607">
        <v>22780</v>
      </c>
      <c r="T221" s="607">
        <v>41670</v>
      </c>
    </row>
    <row r="222" spans="2:21" s="607" customFormat="1" ht="13.2">
      <c r="B222" s="1668"/>
      <c r="F222" s="1666"/>
      <c r="L222" s="1668"/>
      <c r="M222" s="1668"/>
      <c r="N222" s="1668"/>
      <c r="P222" s="1615"/>
      <c r="Q222" s="1615"/>
      <c r="R222" s="1615"/>
    </row>
    <row r="223" spans="2:21" s="607" customFormat="1" ht="13.2">
      <c r="B223" s="1668"/>
      <c r="F223" s="1666"/>
      <c r="L223" s="1668"/>
      <c r="M223" s="1668"/>
      <c r="N223" s="1668"/>
      <c r="P223" s="1615"/>
      <c r="Q223" s="1615"/>
      <c r="R223" s="1615"/>
    </row>
    <row r="224" spans="2:21" s="607" customFormat="1" ht="13.2">
      <c r="B224" s="1668"/>
      <c r="F224" s="1666"/>
      <c r="L224" s="1668"/>
      <c r="M224" s="1668"/>
      <c r="N224" s="1668"/>
      <c r="P224" s="1615"/>
      <c r="Q224" s="1615"/>
      <c r="R224" s="1615"/>
    </row>
    <row r="225" spans="2:19" s="607" customFormat="1" ht="13.2">
      <c r="B225" s="1668"/>
      <c r="F225" s="1666"/>
      <c r="L225" s="1668"/>
      <c r="M225" s="1668"/>
      <c r="N225" s="1668"/>
      <c r="P225" s="1615"/>
      <c r="Q225" s="1615"/>
      <c r="R225" s="1615"/>
    </row>
    <row r="226" spans="2:19" s="607" customFormat="1" ht="13.2">
      <c r="B226" s="1668"/>
      <c r="F226" s="1666"/>
      <c r="L226" s="1668"/>
      <c r="M226" s="1668"/>
      <c r="N226" s="1668"/>
      <c r="Q226" s="1615"/>
      <c r="R226" s="1615"/>
      <c r="S226" s="1615"/>
    </row>
    <row r="227" spans="2:19" s="607" customFormat="1" ht="13.2">
      <c r="B227" s="1668"/>
      <c r="F227" s="1666"/>
      <c r="L227" s="1668"/>
      <c r="M227" s="1668"/>
      <c r="N227" s="1668"/>
      <c r="Q227" s="1615"/>
      <c r="R227" s="1615"/>
      <c r="S227" s="1615"/>
    </row>
    <row r="228" spans="2:19" s="607" customFormat="1" ht="13.2">
      <c r="B228" s="1668"/>
      <c r="F228" s="1666"/>
      <c r="L228" s="1668"/>
      <c r="M228" s="1668"/>
      <c r="N228" s="1668"/>
      <c r="Q228" s="1615"/>
      <c r="R228" s="1615"/>
      <c r="S228" s="1615"/>
    </row>
    <row r="229" spans="2:19" s="607" customFormat="1" ht="13.2">
      <c r="B229" s="1668"/>
      <c r="F229" s="1666"/>
      <c r="L229" s="1668"/>
      <c r="M229" s="1668"/>
      <c r="N229" s="1668"/>
      <c r="Q229" s="1615"/>
      <c r="R229" s="1615"/>
      <c r="S229" s="1615"/>
    </row>
    <row r="230" spans="2:19" s="607" customFormat="1" ht="13.2">
      <c r="B230" s="1668"/>
      <c r="F230" s="1666"/>
      <c r="L230" s="1668"/>
      <c r="M230" s="1668"/>
      <c r="N230" s="1668"/>
      <c r="Q230" s="1615"/>
      <c r="R230" s="1615"/>
      <c r="S230" s="1615"/>
    </row>
    <row r="231" spans="2:19" s="607" customFormat="1" ht="13.2">
      <c r="B231" s="1668"/>
      <c r="F231" s="1666"/>
      <c r="L231" s="1668"/>
      <c r="M231" s="1668"/>
      <c r="N231" s="1668"/>
      <c r="Q231" s="1615"/>
      <c r="R231" s="1615"/>
      <c r="S231" s="1615"/>
    </row>
    <row r="232" spans="2:19" s="607" customFormat="1" ht="13.2">
      <c r="B232" s="1668"/>
      <c r="F232" s="1666"/>
      <c r="L232" s="1668"/>
      <c r="M232" s="1668"/>
      <c r="N232" s="1668"/>
      <c r="Q232" s="1615"/>
      <c r="R232" s="1615"/>
      <c r="S232" s="1615"/>
    </row>
    <row r="233" spans="2:19" s="607" customFormat="1" ht="13.2">
      <c r="B233" s="1668"/>
      <c r="F233" s="1666"/>
      <c r="L233" s="1668"/>
      <c r="M233" s="1668"/>
      <c r="N233" s="1668"/>
      <c r="Q233" s="1615"/>
      <c r="R233" s="1615"/>
      <c r="S233" s="1615"/>
    </row>
    <row r="234" spans="2:19" s="607" customFormat="1" ht="13.2">
      <c r="B234" s="1668"/>
      <c r="F234" s="1666"/>
      <c r="L234" s="1668"/>
      <c r="M234" s="1668"/>
      <c r="N234" s="1668"/>
      <c r="Q234" s="1615"/>
      <c r="R234" s="1615"/>
      <c r="S234" s="1615"/>
    </row>
    <row r="235" spans="2:19" s="607" customFormat="1" ht="13.2">
      <c r="B235" s="1668"/>
      <c r="F235" s="1666"/>
      <c r="L235" s="1668"/>
      <c r="M235" s="1668"/>
      <c r="N235" s="1668"/>
      <c r="Q235" s="1615"/>
      <c r="R235" s="1615"/>
      <c r="S235" s="1615"/>
    </row>
    <row r="236" spans="2:19" s="607" customFormat="1" ht="13.2">
      <c r="B236" s="1668"/>
      <c r="F236" s="1666"/>
      <c r="L236" s="1668"/>
      <c r="M236" s="1668"/>
      <c r="N236" s="1668"/>
      <c r="Q236" s="1615"/>
      <c r="R236" s="1615"/>
      <c r="S236" s="1615"/>
    </row>
    <row r="237" spans="2:19" s="607" customFormat="1" ht="13.2">
      <c r="B237" s="1668"/>
      <c r="F237" s="1666"/>
      <c r="L237" s="1668"/>
      <c r="M237" s="1668"/>
      <c r="N237" s="1668"/>
      <c r="Q237" s="1615"/>
      <c r="R237" s="1615"/>
      <c r="S237" s="1615"/>
    </row>
    <row r="238" spans="2:19" s="607" customFormat="1" ht="13.2">
      <c r="B238" s="1668"/>
      <c r="F238" s="1666"/>
      <c r="L238" s="1668"/>
      <c r="M238" s="1668"/>
      <c r="N238" s="1668"/>
      <c r="Q238" s="1615"/>
      <c r="R238" s="1615"/>
      <c r="S238" s="1615"/>
    </row>
    <row r="239" spans="2:19" s="607" customFormat="1" ht="13.2">
      <c r="B239" s="1668"/>
      <c r="F239" s="1666"/>
      <c r="L239" s="1668"/>
      <c r="M239" s="1668"/>
      <c r="N239" s="1668"/>
      <c r="Q239" s="1615"/>
      <c r="R239" s="1615"/>
      <c r="S239" s="1615"/>
    </row>
    <row r="240" spans="2:19" s="607" customFormat="1" ht="13.2">
      <c r="B240" s="1668"/>
      <c r="F240" s="1666"/>
      <c r="L240" s="1668"/>
      <c r="M240" s="1668"/>
      <c r="N240" s="1668"/>
      <c r="Q240" s="1615"/>
      <c r="R240" s="1615"/>
      <c r="S240" s="1615"/>
    </row>
    <row r="241" spans="2:19" s="607" customFormat="1" ht="13.2">
      <c r="B241" s="1668"/>
      <c r="F241" s="1666"/>
      <c r="L241" s="1668"/>
      <c r="M241" s="1668"/>
      <c r="N241" s="1668"/>
      <c r="Q241" s="1615"/>
      <c r="R241" s="1615"/>
      <c r="S241" s="1615"/>
    </row>
    <row r="242" spans="2:19" s="607" customFormat="1" ht="13.2">
      <c r="B242" s="1668"/>
      <c r="F242" s="1666"/>
      <c r="L242" s="1668"/>
      <c r="M242" s="1668"/>
      <c r="N242" s="1668"/>
      <c r="Q242" s="1615"/>
      <c r="R242" s="1615"/>
      <c r="S242" s="1615"/>
    </row>
    <row r="243" spans="2:19" s="607" customFormat="1" ht="13.2">
      <c r="B243" s="1668"/>
      <c r="F243" s="1666"/>
      <c r="L243" s="1668"/>
      <c r="M243" s="1668"/>
      <c r="N243" s="1668"/>
      <c r="Q243" s="1615"/>
      <c r="R243" s="1615"/>
      <c r="S243" s="1615"/>
    </row>
    <row r="244" spans="2:19" s="607" customFormat="1" ht="13.2">
      <c r="B244" s="1668"/>
      <c r="F244" s="1666"/>
      <c r="L244" s="1668"/>
      <c r="M244" s="1668"/>
      <c r="N244" s="1668"/>
      <c r="Q244" s="1615"/>
      <c r="R244" s="1615"/>
      <c r="S244" s="1595"/>
    </row>
    <row r="245" spans="2:19" s="607" customFormat="1" ht="13.2">
      <c r="B245" s="1668"/>
      <c r="F245" s="1666"/>
      <c r="L245" s="1668"/>
      <c r="M245" s="1668"/>
      <c r="N245" s="1668"/>
      <c r="Q245" s="1615"/>
      <c r="R245" s="1615"/>
      <c r="S245" s="1595"/>
    </row>
    <row r="246" spans="2:19" s="607" customFormat="1" ht="13.2">
      <c r="B246" s="1668"/>
      <c r="F246" s="1666"/>
      <c r="L246" s="1668"/>
      <c r="M246" s="1668"/>
      <c r="N246" s="1668"/>
      <c r="Q246" s="1615"/>
      <c r="R246" s="1595"/>
      <c r="S246" s="1595"/>
    </row>
    <row r="247" spans="2:19" s="607" customFormat="1" ht="13.2">
      <c r="B247" s="1668"/>
      <c r="F247" s="1666"/>
      <c r="L247" s="1668"/>
      <c r="M247" s="1668"/>
      <c r="N247" s="1668"/>
      <c r="Q247" s="1615"/>
      <c r="R247" s="1595"/>
      <c r="S247" s="1595"/>
    </row>
    <row r="248" spans="2:19" s="607" customFormat="1" ht="13.2">
      <c r="B248" s="1668"/>
      <c r="F248" s="1666"/>
      <c r="L248" s="1668"/>
      <c r="M248" s="1668"/>
      <c r="N248" s="1668"/>
      <c r="Q248" s="1615"/>
      <c r="R248" s="1595"/>
      <c r="S248" s="1595"/>
    </row>
    <row r="249" spans="2:19" s="607" customFormat="1" ht="13.2">
      <c r="B249" s="1668"/>
      <c r="F249" s="1666"/>
      <c r="L249" s="1668"/>
      <c r="M249" s="1668"/>
      <c r="N249" s="1668"/>
      <c r="Q249" s="1615"/>
      <c r="R249" s="1595"/>
      <c r="S249" s="1595"/>
    </row>
    <row r="250" spans="2:19" s="607" customFormat="1" ht="13.2">
      <c r="B250" s="1668"/>
      <c r="F250" s="1666"/>
      <c r="L250" s="1668"/>
      <c r="M250" s="1668"/>
      <c r="N250" s="1668"/>
      <c r="Q250" s="1595"/>
      <c r="R250" s="1595"/>
      <c r="S250" s="1595"/>
    </row>
    <row r="251" spans="2:19" s="607" customFormat="1" ht="13.2">
      <c r="B251" s="1668"/>
      <c r="F251" s="1666"/>
      <c r="L251" s="1668"/>
      <c r="M251" s="1668"/>
      <c r="N251" s="1668"/>
      <c r="Q251" s="1595"/>
      <c r="R251" s="1595"/>
      <c r="S251" s="1595"/>
    </row>
    <row r="252" spans="2:19" s="607" customFormat="1" ht="13.2">
      <c r="B252" s="1668"/>
      <c r="F252" s="1666"/>
      <c r="L252" s="1668"/>
      <c r="M252" s="1668"/>
      <c r="N252" s="1668"/>
      <c r="Q252" s="1595"/>
      <c r="R252" s="1595"/>
      <c r="S252" s="1595"/>
    </row>
    <row r="253" spans="2:19" s="607" customFormat="1" ht="13.2">
      <c r="B253" s="1668"/>
      <c r="F253" s="1666"/>
      <c r="L253" s="1668"/>
      <c r="M253" s="1668"/>
      <c r="N253" s="1668"/>
      <c r="Q253" s="1595"/>
      <c r="R253" s="1595"/>
      <c r="S253" s="1595"/>
    </row>
    <row r="254" spans="2:19" s="607" customFormat="1" ht="13.2">
      <c r="B254" s="1668"/>
      <c r="F254" s="1666"/>
      <c r="L254" s="1668"/>
      <c r="M254" s="1668"/>
      <c r="N254" s="1668"/>
      <c r="Q254" s="1595"/>
      <c r="R254" s="1595"/>
      <c r="S254" s="1595"/>
    </row>
    <row r="255" spans="2:19" s="607" customFormat="1" ht="13.2">
      <c r="B255" s="1668"/>
      <c r="F255" s="1666"/>
      <c r="L255" s="1668"/>
      <c r="M255" s="1668"/>
      <c r="N255" s="1668"/>
      <c r="Q255" s="1595"/>
      <c r="R255" s="1595"/>
      <c r="S255" s="1595"/>
    </row>
    <row r="256" spans="2:19" s="607" customFormat="1" ht="13.2">
      <c r="B256" s="1668"/>
      <c r="F256" s="1666"/>
      <c r="L256" s="1668"/>
      <c r="M256" s="1668"/>
      <c r="N256" s="1668"/>
      <c r="Q256" s="1595"/>
      <c r="R256" s="1595"/>
      <c r="S256" s="1595"/>
    </row>
    <row r="257" spans="2:19" s="607" customFormat="1" ht="13.2">
      <c r="B257" s="1668"/>
      <c r="F257" s="1666"/>
      <c r="L257" s="1668"/>
      <c r="M257" s="1668"/>
      <c r="N257" s="1668"/>
      <c r="Q257" s="1595"/>
      <c r="R257" s="1595"/>
      <c r="S257" s="1595"/>
    </row>
    <row r="258" spans="2:19" s="607" customFormat="1" ht="13.2">
      <c r="B258" s="1668"/>
      <c r="F258" s="1666"/>
      <c r="L258" s="1668"/>
      <c r="M258" s="1668"/>
      <c r="N258" s="1668"/>
      <c r="Q258" s="1595"/>
      <c r="R258" s="1595"/>
      <c r="S258" s="1595"/>
    </row>
    <row r="259" spans="2:19" s="607" customFormat="1" ht="13.2">
      <c r="B259" s="1668"/>
      <c r="F259" s="1666"/>
      <c r="L259" s="1668"/>
      <c r="M259" s="1668"/>
      <c r="N259" s="1668"/>
      <c r="Q259" s="1595"/>
      <c r="R259" s="1595"/>
      <c r="S259" s="1595"/>
    </row>
    <row r="260" spans="2:19" s="607" customFormat="1" ht="13.2">
      <c r="B260" s="1668"/>
      <c r="F260" s="1666"/>
      <c r="L260" s="1668"/>
      <c r="M260" s="1668"/>
      <c r="N260" s="1668"/>
      <c r="Q260" s="1595"/>
      <c r="R260" s="1595"/>
      <c r="S260" s="1595"/>
    </row>
    <row r="261" spans="2:19" s="607" customFormat="1" ht="13.2">
      <c r="B261" s="1668"/>
      <c r="F261" s="1666"/>
      <c r="L261" s="1668"/>
      <c r="M261" s="1668"/>
      <c r="N261" s="1668"/>
      <c r="Q261" s="1595"/>
      <c r="R261" s="1595"/>
      <c r="S261" s="1595"/>
    </row>
    <row r="262" spans="2:19" s="607" customFormat="1" ht="13.2">
      <c r="B262" s="1668"/>
      <c r="F262" s="1666"/>
      <c r="L262" s="1668"/>
      <c r="M262" s="1668"/>
      <c r="N262" s="1668"/>
      <c r="Q262" s="1595"/>
      <c r="R262" s="1595"/>
      <c r="S262" s="1595"/>
    </row>
    <row r="263" spans="2:19" s="607" customFormat="1" ht="13.2">
      <c r="B263" s="1668"/>
      <c r="F263" s="1666"/>
      <c r="L263" s="1668"/>
      <c r="M263" s="1668"/>
      <c r="N263" s="1668"/>
      <c r="Q263" s="1595"/>
      <c r="R263" s="1595"/>
      <c r="S263" s="1595"/>
    </row>
    <row r="264" spans="2:19" s="607" customFormat="1" ht="13.2">
      <c r="B264" s="1668"/>
      <c r="F264" s="1666"/>
      <c r="L264" s="1668"/>
      <c r="M264" s="1668"/>
      <c r="N264" s="1668"/>
      <c r="Q264" s="1595"/>
      <c r="R264" s="1595"/>
      <c r="S264" s="1595"/>
    </row>
    <row r="265" spans="2:19" s="607" customFormat="1" ht="13.2">
      <c r="B265" s="1668"/>
      <c r="F265" s="1666"/>
      <c r="L265" s="1668"/>
      <c r="M265" s="1668"/>
      <c r="N265" s="1668"/>
      <c r="Q265" s="1595"/>
      <c r="R265" s="1595"/>
      <c r="S265" s="1595"/>
    </row>
    <row r="266" spans="2:19" s="607" customFormat="1" ht="13.2">
      <c r="B266" s="1668"/>
      <c r="F266" s="1666"/>
      <c r="L266" s="1668"/>
      <c r="M266" s="1668"/>
      <c r="N266" s="1668"/>
      <c r="Q266" s="1595"/>
      <c r="R266" s="1595"/>
      <c r="S266" s="1595"/>
    </row>
    <row r="267" spans="2:19" s="607" customFormat="1" ht="13.2">
      <c r="B267" s="1668"/>
      <c r="F267" s="1666"/>
      <c r="L267" s="1668"/>
      <c r="M267" s="1668"/>
      <c r="N267" s="1668"/>
      <c r="Q267" s="1595"/>
      <c r="R267" s="1595"/>
      <c r="S267" s="1595"/>
    </row>
    <row r="268" spans="2:19" s="607" customFormat="1" ht="13.2">
      <c r="B268" s="1668"/>
      <c r="F268" s="1666"/>
      <c r="L268" s="1668"/>
      <c r="M268" s="1668"/>
      <c r="N268" s="1668"/>
      <c r="Q268" s="1595"/>
      <c r="R268" s="1595"/>
      <c r="S268" s="1595"/>
    </row>
    <row r="269" spans="2:19" s="607" customFormat="1" ht="13.2">
      <c r="B269" s="1668"/>
      <c r="F269" s="1666"/>
      <c r="L269" s="1668"/>
      <c r="M269" s="1668"/>
      <c r="N269" s="1668"/>
      <c r="Q269" s="1595"/>
      <c r="R269" s="1595"/>
      <c r="S269" s="1595"/>
    </row>
    <row r="270" spans="2:19" s="607" customFormat="1" ht="13.2">
      <c r="B270" s="1668"/>
      <c r="F270" s="1666"/>
      <c r="L270" s="1668"/>
      <c r="M270" s="1668"/>
      <c r="N270" s="1668"/>
      <c r="Q270" s="1595"/>
      <c r="R270" s="1595"/>
      <c r="S270" s="1595"/>
    </row>
    <row r="271" spans="2:19" s="607" customFormat="1" ht="13.2">
      <c r="B271" s="1668"/>
      <c r="F271" s="1666"/>
      <c r="L271" s="1668"/>
      <c r="M271" s="1668"/>
      <c r="N271" s="1668"/>
      <c r="Q271" s="1595"/>
      <c r="R271" s="1595"/>
      <c r="S271" s="1595"/>
    </row>
    <row r="272" spans="2:19" s="607" customFormat="1" ht="13.2">
      <c r="B272" s="1668"/>
      <c r="F272" s="1666"/>
      <c r="L272" s="1668"/>
      <c r="M272" s="1668"/>
      <c r="N272" s="1668"/>
      <c r="Q272" s="1595"/>
      <c r="R272" s="1595"/>
      <c r="S272" s="1595"/>
    </row>
    <row r="273" spans="2:19" s="607" customFormat="1" ht="13.2">
      <c r="B273" s="1668"/>
      <c r="F273" s="1666"/>
      <c r="L273" s="1668"/>
      <c r="M273" s="1668"/>
      <c r="N273" s="1668"/>
      <c r="Q273" s="1595"/>
      <c r="R273" s="1595"/>
      <c r="S273" s="1595"/>
    </row>
    <row r="274" spans="2:19" s="607" customFormat="1" ht="13.2">
      <c r="B274" s="1668"/>
      <c r="F274" s="1666"/>
      <c r="L274" s="1668"/>
      <c r="M274" s="1668"/>
      <c r="N274" s="1668"/>
      <c r="Q274" s="1595"/>
      <c r="R274" s="1595"/>
      <c r="S274" s="1595"/>
    </row>
    <row r="275" spans="2:19" s="607" customFormat="1" ht="13.2">
      <c r="B275" s="1668"/>
      <c r="F275" s="1666"/>
      <c r="L275" s="1668"/>
      <c r="M275" s="1668"/>
      <c r="N275" s="1668"/>
      <c r="Q275" s="1595"/>
      <c r="R275" s="1595"/>
      <c r="S275" s="1595"/>
    </row>
    <row r="276" spans="2:19" s="607" customFormat="1" ht="13.2">
      <c r="B276" s="1668"/>
      <c r="F276" s="1666"/>
      <c r="L276" s="1668"/>
      <c r="M276" s="1668"/>
      <c r="N276" s="1668"/>
      <c r="Q276" s="1595"/>
      <c r="R276" s="1595"/>
      <c r="S276" s="1595"/>
    </row>
    <row r="277" spans="2:19" s="607" customFormat="1" ht="13.2">
      <c r="B277" s="1668"/>
      <c r="F277" s="1666"/>
      <c r="L277" s="1668"/>
      <c r="M277" s="1668"/>
      <c r="N277" s="1668"/>
      <c r="Q277" s="1595"/>
      <c r="R277" s="1595"/>
      <c r="S277" s="1595"/>
    </row>
    <row r="278" spans="2:19" s="607" customFormat="1" ht="13.2">
      <c r="B278" s="1668"/>
      <c r="F278" s="1666"/>
      <c r="L278" s="1668"/>
      <c r="M278" s="1668"/>
      <c r="N278" s="1668"/>
      <c r="Q278" s="1595"/>
      <c r="R278" s="1595"/>
      <c r="S278" s="1595"/>
    </row>
    <row r="279" spans="2:19" s="607" customFormat="1" ht="13.2">
      <c r="B279" s="1668"/>
      <c r="F279" s="1666"/>
      <c r="L279" s="1668"/>
      <c r="M279" s="1668"/>
      <c r="N279" s="1668"/>
      <c r="Q279" s="1595"/>
      <c r="R279" s="1595"/>
      <c r="S279" s="1595"/>
    </row>
    <row r="280" spans="2:19" s="607" customFormat="1" ht="13.2">
      <c r="B280" s="1668"/>
      <c r="F280" s="1666"/>
      <c r="L280" s="1668"/>
      <c r="M280" s="1668"/>
      <c r="N280" s="1668"/>
      <c r="Q280" s="1595"/>
      <c r="R280" s="1595"/>
      <c r="S280" s="1595"/>
    </row>
    <row r="281" spans="2:19" s="607" customFormat="1" ht="13.2">
      <c r="B281" s="1668"/>
      <c r="F281" s="1666"/>
      <c r="L281" s="1668"/>
      <c r="M281" s="1668"/>
      <c r="N281" s="1668"/>
      <c r="Q281" s="1595"/>
      <c r="R281" s="1595"/>
      <c r="S281" s="1595"/>
    </row>
    <row r="282" spans="2:19" s="607" customFormat="1" ht="13.2">
      <c r="B282" s="1668"/>
      <c r="F282" s="1666"/>
      <c r="L282" s="1668"/>
      <c r="M282" s="1668"/>
      <c r="N282" s="1668"/>
      <c r="Q282" s="1595"/>
      <c r="R282" s="1595"/>
      <c r="S282" s="1595"/>
    </row>
    <row r="283" spans="2:19" s="607" customFormat="1" ht="13.2">
      <c r="B283" s="1668"/>
      <c r="F283" s="1666"/>
      <c r="L283" s="1668"/>
      <c r="M283" s="1668"/>
      <c r="N283" s="1668"/>
      <c r="Q283" s="1595"/>
      <c r="R283" s="1595"/>
      <c r="S283" s="1595"/>
    </row>
    <row r="284" spans="2:19" s="607" customFormat="1" ht="13.2">
      <c r="B284" s="1668"/>
      <c r="F284" s="1666"/>
      <c r="L284" s="1668"/>
      <c r="M284" s="1668"/>
      <c r="N284" s="1668"/>
      <c r="Q284" s="1595"/>
      <c r="R284" s="1595"/>
      <c r="S284" s="1595"/>
    </row>
    <row r="285" spans="2:19" s="607" customFormat="1" ht="13.2">
      <c r="B285" s="1668"/>
      <c r="F285" s="1666"/>
      <c r="L285" s="1668"/>
      <c r="M285" s="1668"/>
      <c r="N285" s="1668"/>
      <c r="Q285" s="1595"/>
      <c r="R285" s="1595"/>
      <c r="S285" s="1595"/>
    </row>
    <row r="286" spans="2:19" s="607" customFormat="1" ht="13.2">
      <c r="B286" s="1668"/>
      <c r="F286" s="1666"/>
      <c r="L286" s="1668"/>
      <c r="M286" s="1668"/>
      <c r="N286" s="1668"/>
      <c r="Q286" s="1595"/>
      <c r="R286" s="1595"/>
      <c r="S286" s="1595"/>
    </row>
    <row r="287" spans="2:19" s="607" customFormat="1" ht="13.2">
      <c r="B287" s="1668"/>
      <c r="F287" s="1666"/>
      <c r="L287" s="1668"/>
      <c r="M287" s="1668"/>
      <c r="N287" s="1668"/>
      <c r="Q287" s="1595"/>
      <c r="R287" s="1595"/>
      <c r="S287" s="1595"/>
    </row>
    <row r="288" spans="2:19" s="607" customFormat="1" ht="13.2">
      <c r="B288" s="1668"/>
      <c r="F288" s="1666"/>
      <c r="L288" s="1668"/>
      <c r="M288" s="1668"/>
      <c r="N288" s="1668"/>
      <c r="Q288" s="1595"/>
      <c r="R288" s="1595"/>
      <c r="S288" s="1595"/>
    </row>
    <row r="289" spans="2:19" s="607" customFormat="1" ht="13.2">
      <c r="B289" s="1668"/>
      <c r="F289" s="1666"/>
      <c r="L289" s="1668"/>
      <c r="M289" s="1668"/>
      <c r="N289" s="1668"/>
      <c r="Q289" s="1595"/>
      <c r="R289" s="1595"/>
      <c r="S289" s="1595"/>
    </row>
    <row r="290" spans="2:19" s="607" customFormat="1" ht="13.2">
      <c r="B290" s="1668"/>
      <c r="F290" s="1666"/>
      <c r="L290" s="1668"/>
      <c r="M290" s="1668"/>
      <c r="N290" s="1668"/>
      <c r="Q290" s="1595"/>
      <c r="R290" s="1595"/>
      <c r="S290" s="1595"/>
    </row>
    <row r="291" spans="2:19" s="607" customFormat="1" ht="13.2">
      <c r="B291" s="1668"/>
      <c r="F291" s="1666"/>
      <c r="L291" s="1668"/>
      <c r="M291" s="1668"/>
      <c r="N291" s="1668"/>
      <c r="Q291" s="1595"/>
      <c r="R291" s="1595"/>
      <c r="S291" s="1595"/>
    </row>
    <row r="292" spans="2:19" s="607" customFormat="1" ht="13.2">
      <c r="B292" s="1668"/>
      <c r="F292" s="1666"/>
      <c r="L292" s="1668"/>
      <c r="M292" s="1668"/>
      <c r="N292" s="1668"/>
      <c r="Q292" s="1595"/>
      <c r="R292" s="1595"/>
      <c r="S292" s="1595"/>
    </row>
    <row r="293" spans="2:19" s="607" customFormat="1" ht="13.2">
      <c r="B293" s="1668"/>
      <c r="F293" s="1666"/>
      <c r="L293" s="1668"/>
      <c r="M293" s="1668"/>
      <c r="N293" s="1668"/>
      <c r="Q293" s="1595"/>
      <c r="R293" s="1595"/>
      <c r="S293" s="1595"/>
    </row>
    <row r="294" spans="2:19" s="607" customFormat="1" ht="13.2">
      <c r="B294" s="1668"/>
      <c r="F294" s="1666"/>
      <c r="L294" s="1668"/>
      <c r="M294" s="1668"/>
      <c r="N294" s="1668"/>
      <c r="Q294" s="1595"/>
      <c r="R294" s="1595"/>
      <c r="S294" s="1595"/>
    </row>
    <row r="295" spans="2:19" s="607" customFormat="1" ht="13.2">
      <c r="B295" s="1668"/>
      <c r="F295" s="1666"/>
      <c r="L295" s="1668"/>
      <c r="M295" s="1668"/>
      <c r="N295" s="1668"/>
      <c r="Q295" s="1595"/>
      <c r="R295" s="1595"/>
      <c r="S295" s="1595"/>
    </row>
    <row r="296" spans="2:19" s="607" customFormat="1" ht="13.2">
      <c r="B296" s="1668"/>
      <c r="F296" s="1666"/>
      <c r="L296" s="1668"/>
      <c r="M296" s="1668"/>
      <c r="N296" s="1668"/>
      <c r="Q296" s="1595"/>
      <c r="R296" s="1595"/>
      <c r="S296" s="1595"/>
    </row>
    <row r="297" spans="2:19" s="607" customFormat="1" ht="13.2">
      <c r="B297" s="1668"/>
      <c r="F297" s="1666"/>
      <c r="L297" s="1668"/>
      <c r="M297" s="1668"/>
      <c r="N297" s="1668"/>
      <c r="Q297" s="1595"/>
      <c r="R297" s="1595"/>
      <c r="S297" s="1595"/>
    </row>
    <row r="298" spans="2:19" s="607" customFormat="1" ht="13.2">
      <c r="B298" s="1668"/>
      <c r="F298" s="1666"/>
      <c r="L298" s="1668"/>
      <c r="M298" s="1668"/>
      <c r="N298" s="1668"/>
      <c r="Q298" s="1595"/>
      <c r="R298" s="1595"/>
      <c r="S298" s="1595"/>
    </row>
    <row r="299" spans="2:19" s="607" customFormat="1" ht="13.2">
      <c r="B299" s="1668"/>
      <c r="F299" s="1666"/>
      <c r="L299" s="1668"/>
      <c r="M299" s="1668"/>
      <c r="N299" s="1668"/>
      <c r="Q299" s="1595"/>
      <c r="R299" s="1595"/>
      <c r="S299" s="1595"/>
    </row>
    <row r="300" spans="2:19" s="607" customFormat="1" ht="13.2">
      <c r="B300" s="1668"/>
      <c r="F300" s="1666"/>
      <c r="L300" s="1668"/>
      <c r="M300" s="1668"/>
      <c r="N300" s="1668"/>
      <c r="Q300" s="1595"/>
      <c r="R300" s="1595"/>
      <c r="S300" s="1595"/>
    </row>
    <row r="301" spans="2:19" s="607" customFormat="1" ht="13.2">
      <c r="B301" s="1668"/>
      <c r="F301" s="1666"/>
      <c r="L301" s="1668"/>
      <c r="M301" s="1668"/>
      <c r="N301" s="1668"/>
      <c r="Q301" s="1595"/>
      <c r="R301" s="1595"/>
      <c r="S301" s="1595"/>
    </row>
    <row r="302" spans="2:19" s="607" customFormat="1" ht="13.2">
      <c r="B302" s="1668"/>
      <c r="F302" s="1666"/>
      <c r="L302" s="1668"/>
      <c r="M302" s="1668"/>
      <c r="N302" s="1668"/>
      <c r="Q302" s="1595"/>
      <c r="R302" s="1595"/>
      <c r="S302" s="1595"/>
    </row>
    <row r="303" spans="2:19" s="607" customFormat="1" ht="13.2">
      <c r="B303" s="1668"/>
      <c r="F303" s="1666"/>
      <c r="L303" s="1668"/>
      <c r="M303" s="1668"/>
      <c r="N303" s="1668"/>
      <c r="Q303" s="1595"/>
      <c r="R303" s="1595"/>
      <c r="S303" s="1595"/>
    </row>
    <row r="304" spans="2:19" s="607" customFormat="1" ht="13.2">
      <c r="B304" s="1668"/>
      <c r="F304" s="1666"/>
      <c r="L304" s="1668"/>
      <c r="M304" s="1668"/>
      <c r="N304" s="1668"/>
      <c r="Q304" s="1595"/>
      <c r="R304" s="1595"/>
      <c r="S304" s="1595"/>
    </row>
    <row r="305" spans="1:22" ht="13.2">
      <c r="A305" s="607"/>
      <c r="B305" s="1668"/>
      <c r="C305" s="607"/>
      <c r="D305" s="607"/>
      <c r="E305" s="607"/>
      <c r="F305" s="1666"/>
      <c r="G305" s="607"/>
      <c r="H305" s="607"/>
      <c r="I305" s="607"/>
      <c r="J305" s="607"/>
      <c r="K305" s="607"/>
      <c r="L305" s="1668"/>
      <c r="M305" s="1668"/>
      <c r="N305" s="1668"/>
      <c r="O305" s="607"/>
      <c r="P305" s="607"/>
      <c r="Q305" s="1654"/>
      <c r="R305" s="1595"/>
      <c r="S305" s="1654"/>
      <c r="T305" s="607"/>
      <c r="U305" s="607"/>
      <c r="V305" s="607"/>
    </row>
    <row r="306" spans="1:22" ht="13.2">
      <c r="A306" s="607"/>
      <c r="B306" s="1668"/>
      <c r="C306" s="607"/>
      <c r="D306" s="607"/>
      <c r="E306" s="607"/>
      <c r="F306" s="1666"/>
      <c r="G306" s="607"/>
      <c r="H306" s="607"/>
      <c r="I306" s="607"/>
      <c r="J306" s="607"/>
      <c r="K306" s="607"/>
      <c r="L306" s="1668"/>
      <c r="M306" s="1668"/>
      <c r="N306" s="1668"/>
      <c r="O306" s="607"/>
      <c r="P306" s="607"/>
      <c r="Q306" s="1595"/>
      <c r="R306" s="1595"/>
      <c r="S306" s="1595"/>
      <c r="T306" s="607"/>
      <c r="U306" s="607"/>
      <c r="V306" s="607"/>
    </row>
    <row r="307" spans="1:22" ht="13.2">
      <c r="A307" s="607"/>
      <c r="B307" s="1668"/>
      <c r="C307" s="607"/>
      <c r="D307" s="607"/>
      <c r="E307" s="607"/>
      <c r="F307" s="1666"/>
      <c r="G307" s="607"/>
      <c r="H307" s="607"/>
      <c r="I307" s="607"/>
      <c r="J307" s="607"/>
      <c r="K307" s="607"/>
      <c r="L307" s="1668"/>
      <c r="M307" s="1668"/>
      <c r="N307" s="1668"/>
      <c r="O307" s="607"/>
      <c r="P307" s="607"/>
      <c r="Q307" s="1595"/>
      <c r="R307" s="1595"/>
      <c r="S307" s="1595"/>
      <c r="T307" s="607"/>
      <c r="U307" s="607"/>
      <c r="V307" s="607"/>
    </row>
    <row r="308" spans="1:22" ht="13.2">
      <c r="A308" s="607"/>
      <c r="B308" s="1668"/>
      <c r="C308" s="607"/>
      <c r="D308" s="607"/>
      <c r="E308" s="607"/>
      <c r="F308" s="1666"/>
      <c r="G308" s="607"/>
      <c r="H308" s="607"/>
      <c r="I308" s="607"/>
      <c r="J308" s="607"/>
      <c r="K308" s="607"/>
      <c r="L308" s="1668"/>
      <c r="M308" s="1668"/>
      <c r="N308" s="1668"/>
      <c r="O308" s="607"/>
      <c r="P308" s="607"/>
      <c r="Q308" s="1595"/>
      <c r="R308" s="1654"/>
      <c r="S308" s="1595"/>
      <c r="T308" s="607"/>
      <c r="U308" s="607"/>
      <c r="V308" s="607"/>
    </row>
    <row r="309" spans="1:22" ht="13.2">
      <c r="A309" s="607"/>
      <c r="B309" s="1668"/>
      <c r="C309" s="607"/>
      <c r="D309" s="607"/>
      <c r="E309" s="607"/>
      <c r="F309" s="1666"/>
      <c r="G309" s="607"/>
      <c r="H309" s="607"/>
      <c r="I309" s="607"/>
      <c r="J309" s="607"/>
      <c r="K309" s="607"/>
      <c r="L309" s="1668"/>
      <c r="M309" s="1668"/>
      <c r="N309" s="1668"/>
      <c r="O309" s="607"/>
      <c r="P309" s="607"/>
      <c r="Q309" s="1595"/>
      <c r="R309" s="1595"/>
      <c r="S309" s="1595"/>
      <c r="T309" s="607"/>
      <c r="U309" s="607"/>
      <c r="V309" s="607"/>
    </row>
    <row r="310" spans="1:22" ht="13.2">
      <c r="A310" s="607"/>
      <c r="B310" s="1668"/>
      <c r="C310" s="607"/>
      <c r="D310" s="607"/>
      <c r="E310" s="607"/>
      <c r="F310" s="1666"/>
      <c r="G310" s="607"/>
      <c r="H310" s="607"/>
      <c r="I310" s="607"/>
      <c r="J310" s="607"/>
      <c r="K310" s="607"/>
      <c r="L310" s="1668"/>
      <c r="M310" s="1668"/>
      <c r="N310" s="1668"/>
      <c r="O310" s="607"/>
      <c r="P310" s="607"/>
      <c r="Q310" s="1595"/>
      <c r="R310" s="1595"/>
      <c r="S310" s="1595"/>
      <c r="T310" s="607"/>
      <c r="U310" s="607"/>
      <c r="V310" s="607"/>
    </row>
    <row r="311" spans="1:22" ht="13.2">
      <c r="A311" s="607"/>
      <c r="B311" s="1668"/>
      <c r="C311" s="607"/>
      <c r="D311" s="607"/>
      <c r="E311" s="607"/>
      <c r="F311" s="1666"/>
      <c r="G311" s="607"/>
      <c r="H311" s="607"/>
      <c r="I311" s="607"/>
      <c r="J311" s="607"/>
      <c r="K311" s="607"/>
      <c r="L311" s="1668"/>
      <c r="M311" s="1668"/>
      <c r="N311" s="1668"/>
      <c r="O311" s="607"/>
      <c r="P311" s="607"/>
      <c r="Q311" s="1595"/>
      <c r="R311" s="1595"/>
      <c r="S311" s="1595"/>
      <c r="T311" s="607"/>
      <c r="U311" s="607"/>
      <c r="V311" s="607"/>
    </row>
    <row r="312" spans="1:22" ht="13.2">
      <c r="A312" s="607"/>
      <c r="B312" s="1668"/>
      <c r="C312" s="607"/>
      <c r="D312" s="607"/>
      <c r="E312" s="607"/>
      <c r="F312" s="1666"/>
      <c r="G312" s="607"/>
      <c r="H312" s="607"/>
      <c r="I312" s="607"/>
      <c r="J312" s="607"/>
      <c r="K312" s="607"/>
      <c r="L312" s="1668"/>
      <c r="M312" s="1668"/>
      <c r="N312" s="1668"/>
      <c r="O312" s="607"/>
      <c r="P312" s="607"/>
      <c r="Q312" s="1595"/>
      <c r="R312" s="1595"/>
      <c r="S312" s="1595"/>
      <c r="T312" s="607"/>
      <c r="U312" s="607"/>
      <c r="V312" s="607"/>
    </row>
    <row r="313" spans="1:22" ht="13.2">
      <c r="A313" s="607"/>
      <c r="B313" s="1668"/>
      <c r="C313" s="607"/>
      <c r="D313" s="607"/>
      <c r="E313" s="607"/>
      <c r="F313" s="1666"/>
      <c r="G313" s="607"/>
      <c r="H313" s="607"/>
      <c r="I313" s="607"/>
      <c r="J313" s="607"/>
      <c r="K313" s="607"/>
      <c r="L313" s="1668"/>
      <c r="M313" s="1668"/>
      <c r="N313" s="1668"/>
      <c r="O313" s="607"/>
      <c r="P313" s="607"/>
      <c r="Q313" s="1595"/>
      <c r="R313" s="1595"/>
      <c r="S313" s="1595"/>
      <c r="T313" s="607"/>
      <c r="U313" s="607"/>
      <c r="V313" s="607"/>
    </row>
    <row r="314" spans="1:22" ht="13.2">
      <c r="A314" s="607"/>
      <c r="B314" s="1668"/>
      <c r="C314" s="607"/>
      <c r="D314" s="607"/>
      <c r="E314" s="607"/>
      <c r="F314" s="1666"/>
      <c r="G314" s="607"/>
      <c r="H314" s="607"/>
      <c r="I314" s="607"/>
      <c r="J314" s="607"/>
      <c r="K314" s="607"/>
      <c r="L314" s="1668"/>
      <c r="M314" s="1668"/>
      <c r="N314" s="1668"/>
      <c r="O314" s="607"/>
      <c r="P314" s="607"/>
      <c r="Q314" s="1595"/>
      <c r="R314" s="1595"/>
      <c r="S314" s="1595"/>
      <c r="T314" s="607"/>
      <c r="U314" s="607"/>
      <c r="V314" s="607"/>
    </row>
    <row r="315" spans="1:22" ht="13.2">
      <c r="A315" s="607"/>
      <c r="B315" s="1668"/>
      <c r="C315" s="607"/>
      <c r="D315" s="607"/>
      <c r="E315" s="607"/>
      <c r="F315" s="1666"/>
      <c r="G315" s="607"/>
      <c r="H315" s="607"/>
      <c r="I315" s="607"/>
      <c r="J315" s="607"/>
      <c r="K315" s="607"/>
      <c r="L315" s="1668"/>
      <c r="M315" s="1668"/>
      <c r="N315" s="1668"/>
      <c r="O315" s="607"/>
      <c r="P315" s="607"/>
      <c r="Q315" s="1595"/>
      <c r="R315" s="1595"/>
      <c r="S315" s="1595"/>
      <c r="T315" s="607"/>
      <c r="U315" s="607"/>
      <c r="V315" s="607"/>
    </row>
    <row r="316" spans="1:22" ht="13.2">
      <c r="A316" s="607"/>
      <c r="B316" s="1668"/>
      <c r="C316" s="607"/>
      <c r="D316" s="607"/>
      <c r="E316" s="607"/>
      <c r="F316" s="1666"/>
      <c r="G316" s="607"/>
      <c r="H316" s="607"/>
      <c r="I316" s="607"/>
      <c r="J316" s="607"/>
      <c r="K316" s="607"/>
      <c r="L316" s="1668"/>
      <c r="M316" s="1668"/>
      <c r="N316" s="1668"/>
      <c r="O316" s="607"/>
      <c r="P316" s="607"/>
      <c r="Q316" s="1595"/>
      <c r="R316" s="1595"/>
      <c r="S316" s="1595"/>
      <c r="T316" s="607"/>
      <c r="U316" s="607"/>
      <c r="V316" s="607"/>
    </row>
    <row r="317" spans="1:22" ht="13.2">
      <c r="B317" s="1668"/>
      <c r="C317" s="607"/>
      <c r="D317" s="607"/>
      <c r="E317" s="607"/>
      <c r="F317" s="1666"/>
      <c r="G317" s="607"/>
      <c r="H317" s="607"/>
      <c r="I317" s="607"/>
      <c r="J317" s="607"/>
      <c r="K317" s="607"/>
      <c r="L317" s="1668"/>
      <c r="M317" s="1668"/>
      <c r="N317" s="1668"/>
      <c r="O317" s="607"/>
      <c r="P317" s="607"/>
      <c r="Q317" s="1595"/>
      <c r="R317" s="1595"/>
      <c r="S317" s="1595"/>
      <c r="T317" s="607"/>
      <c r="U317" s="607"/>
      <c r="V317" s="607"/>
    </row>
    <row r="318" spans="1:22" ht="13.2">
      <c r="B318" s="1668"/>
      <c r="C318" s="607"/>
      <c r="D318" s="607"/>
      <c r="E318" s="607"/>
      <c r="F318" s="1666"/>
      <c r="G318" s="607"/>
      <c r="H318" s="607"/>
      <c r="I318" s="607"/>
      <c r="J318" s="607"/>
      <c r="K318" s="607"/>
      <c r="L318" s="1668"/>
      <c r="M318" s="1668"/>
      <c r="N318" s="1668"/>
      <c r="O318" s="607"/>
      <c r="P318" s="607"/>
      <c r="Q318" s="1595"/>
      <c r="R318" s="1595"/>
      <c r="S318" s="1595"/>
      <c r="T318" s="607"/>
      <c r="U318" s="607"/>
      <c r="V318" s="607"/>
    </row>
    <row r="319" spans="1:22" ht="13.2">
      <c r="B319" s="1668"/>
      <c r="C319" s="607"/>
      <c r="D319" s="607"/>
      <c r="E319" s="607"/>
      <c r="F319" s="1666"/>
      <c r="G319" s="607"/>
      <c r="H319" s="607"/>
      <c r="I319" s="607"/>
      <c r="J319" s="607"/>
      <c r="K319" s="607"/>
      <c r="L319" s="1668"/>
      <c r="M319" s="1668"/>
      <c r="N319" s="1668"/>
      <c r="O319" s="607"/>
      <c r="P319" s="607"/>
      <c r="Q319" s="1595"/>
      <c r="R319" s="1595"/>
      <c r="S319" s="1595"/>
      <c r="T319" s="607"/>
      <c r="U319" s="607"/>
      <c r="V319" s="607"/>
    </row>
    <row r="320" spans="1:22" ht="13.2">
      <c r="P320" s="607"/>
      <c r="Q320" s="1595"/>
      <c r="R320" s="1595"/>
      <c r="S320" s="1595"/>
      <c r="T320" s="607"/>
      <c r="U320" s="607"/>
      <c r="V320" s="607"/>
    </row>
    <row r="321" spans="1:169" ht="13.2">
      <c r="P321" s="607"/>
      <c r="Q321" s="1595"/>
      <c r="R321" s="1595"/>
      <c r="S321" s="1595"/>
      <c r="T321" s="607"/>
      <c r="U321" s="607"/>
      <c r="V321" s="607"/>
    </row>
    <row r="322" spans="1:169" ht="13.2">
      <c r="P322" s="607"/>
      <c r="Q322" s="1595"/>
      <c r="R322" s="1595"/>
      <c r="S322" s="1595"/>
      <c r="T322" s="607"/>
      <c r="U322" s="607"/>
      <c r="V322" s="607"/>
    </row>
    <row r="323" spans="1:169" ht="13.2">
      <c r="P323" s="607"/>
      <c r="Q323" s="1595"/>
      <c r="R323" s="1595"/>
      <c r="S323" s="1595"/>
      <c r="T323" s="607"/>
      <c r="U323" s="607"/>
      <c r="V323" s="607"/>
    </row>
    <row r="324" spans="1:169" s="1586" customFormat="1" ht="13.2">
      <c r="A324" s="523"/>
      <c r="B324" s="1585"/>
      <c r="C324" s="523"/>
      <c r="D324" s="523"/>
      <c r="E324" s="523"/>
      <c r="F324" s="524"/>
      <c r="G324" s="523"/>
      <c r="H324" s="523"/>
      <c r="I324" s="523"/>
      <c r="J324" s="523"/>
      <c r="K324" s="523"/>
      <c r="L324" s="1585"/>
      <c r="M324" s="1585"/>
      <c r="N324" s="1585"/>
      <c r="O324" s="523"/>
      <c r="P324" s="607"/>
      <c r="Q324" s="1595"/>
      <c r="R324" s="1595"/>
      <c r="S324" s="1595"/>
      <c r="T324" s="607"/>
      <c r="U324" s="607"/>
      <c r="V324" s="607"/>
      <c r="W324" s="523"/>
      <c r="X324" s="523"/>
      <c r="Y324" s="523"/>
      <c r="Z324" s="523"/>
      <c r="AA324" s="523"/>
      <c r="AB324" s="523"/>
      <c r="AC324" s="523"/>
      <c r="AD324" s="523"/>
      <c r="AE324" s="523"/>
      <c r="AF324" s="523"/>
      <c r="AG324" s="523"/>
      <c r="AH324" s="523"/>
      <c r="AI324" s="523"/>
      <c r="AJ324" s="523"/>
      <c r="AK324" s="523"/>
      <c r="AL324" s="523"/>
      <c r="AM324" s="523"/>
      <c r="AN324" s="523"/>
      <c r="AO324" s="523"/>
      <c r="AP324" s="523"/>
      <c r="AQ324" s="523"/>
      <c r="AR324" s="523"/>
      <c r="AS324" s="523"/>
      <c r="AT324" s="523"/>
      <c r="AU324" s="523"/>
      <c r="AV324" s="523"/>
      <c r="AW324" s="523"/>
      <c r="AX324" s="523"/>
      <c r="AY324" s="523"/>
      <c r="AZ324" s="523"/>
      <c r="BA324" s="523"/>
      <c r="BB324" s="523"/>
      <c r="BC324" s="523"/>
      <c r="BD324" s="523"/>
      <c r="BE324" s="523"/>
      <c r="BF324" s="523"/>
      <c r="BG324" s="523"/>
      <c r="BH324" s="523"/>
      <c r="BI324" s="523"/>
      <c r="BJ324" s="523"/>
      <c r="BK324" s="523"/>
      <c r="BL324" s="523"/>
      <c r="BM324" s="523"/>
      <c r="BN324" s="523"/>
      <c r="BO324" s="523"/>
      <c r="BP324" s="523"/>
      <c r="BQ324" s="523"/>
      <c r="BR324" s="523"/>
      <c r="BS324" s="523"/>
      <c r="BT324" s="523"/>
      <c r="BU324" s="523"/>
      <c r="BV324" s="523"/>
      <c r="BW324" s="523"/>
      <c r="BX324" s="523"/>
      <c r="BY324" s="523"/>
      <c r="BZ324" s="523"/>
      <c r="CA324" s="523"/>
      <c r="CB324" s="523"/>
      <c r="CC324" s="523"/>
      <c r="CD324" s="523"/>
      <c r="CE324" s="523"/>
      <c r="CF324" s="523"/>
      <c r="CG324" s="523"/>
      <c r="CH324" s="523"/>
      <c r="CI324" s="523"/>
      <c r="CJ324" s="523"/>
      <c r="CK324" s="523"/>
      <c r="CL324" s="523"/>
      <c r="CM324" s="523"/>
      <c r="CN324" s="523"/>
      <c r="CO324" s="523"/>
      <c r="CP324" s="523"/>
      <c r="CQ324" s="523"/>
      <c r="CR324" s="523"/>
      <c r="CS324" s="523"/>
      <c r="CT324" s="523"/>
      <c r="CU324" s="523"/>
      <c r="CV324" s="523"/>
      <c r="CW324" s="523"/>
      <c r="CX324" s="523"/>
      <c r="CY324" s="523"/>
      <c r="CZ324" s="523"/>
      <c r="DA324" s="523"/>
      <c r="DB324" s="523"/>
      <c r="DC324" s="523"/>
      <c r="DD324" s="523"/>
      <c r="DE324" s="523"/>
      <c r="DF324" s="523"/>
      <c r="DG324" s="523"/>
      <c r="DH324" s="523"/>
      <c r="DI324" s="523"/>
      <c r="DJ324" s="523"/>
      <c r="DK324" s="523"/>
      <c r="DL324" s="523"/>
      <c r="DM324" s="523"/>
      <c r="DN324" s="523"/>
      <c r="DO324" s="523"/>
      <c r="DP324" s="523"/>
      <c r="DQ324" s="523"/>
      <c r="DR324" s="523"/>
      <c r="DS324" s="523"/>
      <c r="DT324" s="523"/>
      <c r="DU324" s="523"/>
      <c r="DV324" s="523"/>
      <c r="DW324" s="523"/>
      <c r="DX324" s="523"/>
      <c r="DY324" s="523"/>
      <c r="DZ324" s="523"/>
      <c r="EA324" s="523"/>
      <c r="EB324" s="523"/>
      <c r="EC324" s="523"/>
      <c r="ED324" s="523"/>
      <c r="EE324" s="523"/>
      <c r="EF324" s="523"/>
      <c r="EG324" s="523"/>
      <c r="EH324" s="523"/>
      <c r="EI324" s="523"/>
      <c r="EJ324" s="523"/>
      <c r="EK324" s="523"/>
      <c r="EL324" s="523"/>
      <c r="EM324" s="523"/>
      <c r="EN324" s="523"/>
      <c r="EO324" s="523"/>
      <c r="EP324" s="523"/>
      <c r="EQ324" s="523"/>
      <c r="ER324" s="523"/>
      <c r="ES324" s="523"/>
      <c r="ET324" s="523"/>
      <c r="EU324" s="523"/>
      <c r="EV324" s="523"/>
      <c r="EW324" s="523"/>
      <c r="EX324" s="523"/>
      <c r="EY324" s="523"/>
      <c r="EZ324" s="523"/>
      <c r="FA324" s="523"/>
      <c r="FB324" s="523"/>
      <c r="FC324" s="523"/>
      <c r="FD324" s="523"/>
      <c r="FE324" s="523"/>
      <c r="FF324" s="523"/>
      <c r="FG324" s="523"/>
      <c r="FH324" s="523"/>
      <c r="FI324" s="523"/>
      <c r="FJ324" s="523"/>
      <c r="FK324" s="523"/>
      <c r="FL324" s="523"/>
      <c r="FM324" s="523"/>
    </row>
    <row r="325" spans="1:169" s="1586" customFormat="1" ht="13.2">
      <c r="A325" s="523"/>
      <c r="B325" s="1585"/>
      <c r="C325" s="523"/>
      <c r="D325" s="523"/>
      <c r="E325" s="523"/>
      <c r="F325" s="524"/>
      <c r="G325" s="523"/>
      <c r="H325" s="523"/>
      <c r="I325" s="523"/>
      <c r="J325" s="523"/>
      <c r="K325" s="523"/>
      <c r="L325" s="1585"/>
      <c r="M325" s="1585"/>
      <c r="N325" s="1585"/>
      <c r="O325" s="523"/>
      <c r="P325" s="607"/>
      <c r="Q325" s="1595"/>
      <c r="R325" s="1595"/>
      <c r="S325" s="1595"/>
      <c r="T325" s="607"/>
      <c r="U325" s="607"/>
      <c r="V325" s="607"/>
      <c r="W325" s="523"/>
      <c r="X325" s="523"/>
      <c r="Y325" s="523"/>
      <c r="Z325" s="523"/>
      <c r="AA325" s="523"/>
      <c r="AB325" s="523"/>
      <c r="AC325" s="523"/>
      <c r="AD325" s="523"/>
      <c r="AE325" s="523"/>
      <c r="AF325" s="523"/>
      <c r="AG325" s="523"/>
      <c r="AH325" s="523"/>
      <c r="AI325" s="523"/>
      <c r="AJ325" s="523"/>
      <c r="AK325" s="523"/>
      <c r="AL325" s="523"/>
      <c r="AM325" s="523"/>
      <c r="AN325" s="523"/>
      <c r="AO325" s="523"/>
      <c r="AP325" s="523"/>
      <c r="AQ325" s="523"/>
      <c r="AR325" s="523"/>
      <c r="AS325" s="523"/>
      <c r="AT325" s="523"/>
      <c r="AU325" s="523"/>
      <c r="AV325" s="523"/>
      <c r="AW325" s="523"/>
      <c r="AX325" s="523"/>
      <c r="AY325" s="523"/>
      <c r="AZ325" s="523"/>
      <c r="BA325" s="523"/>
      <c r="BB325" s="523"/>
      <c r="BC325" s="523"/>
      <c r="BD325" s="523"/>
      <c r="BE325" s="523"/>
      <c r="BF325" s="523"/>
      <c r="BG325" s="523"/>
      <c r="BH325" s="523"/>
      <c r="BI325" s="523"/>
      <c r="BJ325" s="523"/>
      <c r="BK325" s="523"/>
      <c r="BL325" s="523"/>
      <c r="BM325" s="523"/>
      <c r="BN325" s="523"/>
      <c r="BO325" s="523"/>
      <c r="BP325" s="523"/>
      <c r="BQ325" s="523"/>
      <c r="BR325" s="523"/>
      <c r="BS325" s="523"/>
      <c r="BT325" s="523"/>
      <c r="BU325" s="523"/>
      <c r="BV325" s="523"/>
      <c r="BW325" s="523"/>
      <c r="BX325" s="523"/>
      <c r="BY325" s="523"/>
      <c r="BZ325" s="523"/>
      <c r="CA325" s="523"/>
      <c r="CB325" s="523"/>
      <c r="CC325" s="523"/>
      <c r="CD325" s="523"/>
      <c r="CE325" s="523"/>
      <c r="CF325" s="523"/>
      <c r="CG325" s="523"/>
      <c r="CH325" s="523"/>
      <c r="CI325" s="523"/>
      <c r="CJ325" s="523"/>
      <c r="CK325" s="523"/>
      <c r="CL325" s="523"/>
      <c r="CM325" s="523"/>
      <c r="CN325" s="523"/>
      <c r="CO325" s="523"/>
      <c r="CP325" s="523"/>
      <c r="CQ325" s="523"/>
      <c r="CR325" s="523"/>
      <c r="CS325" s="523"/>
      <c r="CT325" s="523"/>
      <c r="CU325" s="523"/>
      <c r="CV325" s="523"/>
      <c r="CW325" s="523"/>
      <c r="CX325" s="523"/>
      <c r="CY325" s="523"/>
      <c r="CZ325" s="523"/>
      <c r="DA325" s="523"/>
      <c r="DB325" s="523"/>
      <c r="DC325" s="523"/>
      <c r="DD325" s="523"/>
      <c r="DE325" s="523"/>
      <c r="DF325" s="523"/>
      <c r="DG325" s="523"/>
      <c r="DH325" s="523"/>
      <c r="DI325" s="523"/>
      <c r="DJ325" s="523"/>
      <c r="DK325" s="523"/>
      <c r="DL325" s="523"/>
      <c r="DM325" s="523"/>
      <c r="DN325" s="523"/>
      <c r="DO325" s="523"/>
      <c r="DP325" s="523"/>
      <c r="DQ325" s="523"/>
      <c r="DR325" s="523"/>
      <c r="DS325" s="523"/>
      <c r="DT325" s="523"/>
      <c r="DU325" s="523"/>
      <c r="DV325" s="523"/>
      <c r="DW325" s="523"/>
      <c r="DX325" s="523"/>
      <c r="DY325" s="523"/>
      <c r="DZ325" s="523"/>
      <c r="EA325" s="523"/>
      <c r="EB325" s="523"/>
      <c r="EC325" s="523"/>
      <c r="ED325" s="523"/>
      <c r="EE325" s="523"/>
      <c r="EF325" s="523"/>
      <c r="EG325" s="523"/>
      <c r="EH325" s="523"/>
      <c r="EI325" s="523"/>
      <c r="EJ325" s="523"/>
      <c r="EK325" s="523"/>
      <c r="EL325" s="523"/>
      <c r="EM325" s="523"/>
      <c r="EN325" s="523"/>
      <c r="EO325" s="523"/>
      <c r="EP325" s="523"/>
      <c r="EQ325" s="523"/>
      <c r="ER325" s="523"/>
      <c r="ES325" s="523"/>
      <c r="ET325" s="523"/>
      <c r="EU325" s="523"/>
      <c r="EV325" s="523"/>
      <c r="EW325" s="523"/>
      <c r="EX325" s="523"/>
      <c r="EY325" s="523"/>
      <c r="EZ325" s="523"/>
      <c r="FA325" s="523"/>
      <c r="FB325" s="523"/>
      <c r="FC325" s="523"/>
      <c r="FD325" s="523"/>
      <c r="FE325" s="523"/>
      <c r="FF325" s="523"/>
      <c r="FG325" s="523"/>
      <c r="FH325" s="523"/>
      <c r="FI325" s="523"/>
      <c r="FJ325" s="523"/>
      <c r="FK325" s="523"/>
      <c r="FL325" s="523"/>
      <c r="FM325" s="523"/>
    </row>
    <row r="326" spans="1:169" s="1586" customFormat="1" ht="13.2">
      <c r="A326" s="523"/>
      <c r="B326" s="1585"/>
      <c r="C326" s="523"/>
      <c r="D326" s="523"/>
      <c r="E326" s="523"/>
      <c r="F326" s="524"/>
      <c r="G326" s="523"/>
      <c r="H326" s="523"/>
      <c r="I326" s="523"/>
      <c r="J326" s="523"/>
      <c r="K326" s="523"/>
      <c r="L326" s="1585"/>
      <c r="M326" s="1585"/>
      <c r="N326" s="1585"/>
      <c r="O326" s="523"/>
      <c r="P326" s="607"/>
      <c r="Q326" s="1595"/>
      <c r="R326" s="1595"/>
      <c r="S326" s="1595"/>
      <c r="T326" s="607"/>
      <c r="U326" s="607"/>
      <c r="V326" s="607"/>
      <c r="W326" s="523"/>
      <c r="X326" s="523"/>
      <c r="Y326" s="523"/>
      <c r="Z326" s="523"/>
      <c r="AA326" s="523"/>
      <c r="AB326" s="523"/>
      <c r="AC326" s="523"/>
      <c r="AD326" s="523"/>
      <c r="AE326" s="523"/>
      <c r="AF326" s="523"/>
      <c r="AG326" s="523"/>
      <c r="AH326" s="523"/>
      <c r="AI326" s="523"/>
      <c r="AJ326" s="523"/>
      <c r="AK326" s="523"/>
      <c r="AL326" s="523"/>
      <c r="AM326" s="523"/>
      <c r="AN326" s="523"/>
      <c r="AO326" s="523"/>
      <c r="AP326" s="523"/>
      <c r="AQ326" s="523"/>
      <c r="AR326" s="523"/>
      <c r="AS326" s="523"/>
      <c r="AT326" s="523"/>
      <c r="AU326" s="523"/>
      <c r="AV326" s="523"/>
      <c r="AW326" s="523"/>
      <c r="AX326" s="523"/>
      <c r="AY326" s="523"/>
      <c r="AZ326" s="523"/>
      <c r="BA326" s="523"/>
      <c r="BB326" s="523"/>
      <c r="BC326" s="523"/>
      <c r="BD326" s="523"/>
      <c r="BE326" s="523"/>
      <c r="BF326" s="523"/>
      <c r="BG326" s="523"/>
      <c r="BH326" s="523"/>
      <c r="BI326" s="523"/>
      <c r="BJ326" s="523"/>
      <c r="BK326" s="523"/>
      <c r="BL326" s="523"/>
      <c r="BM326" s="523"/>
      <c r="BN326" s="523"/>
      <c r="BO326" s="523"/>
      <c r="BP326" s="523"/>
      <c r="BQ326" s="523"/>
      <c r="BR326" s="523"/>
      <c r="BS326" s="523"/>
      <c r="BT326" s="523"/>
      <c r="BU326" s="523"/>
      <c r="BV326" s="523"/>
      <c r="BW326" s="523"/>
      <c r="BX326" s="523"/>
      <c r="BY326" s="523"/>
      <c r="BZ326" s="523"/>
      <c r="CA326" s="523"/>
      <c r="CB326" s="523"/>
      <c r="CC326" s="523"/>
      <c r="CD326" s="523"/>
      <c r="CE326" s="523"/>
      <c r="CF326" s="523"/>
      <c r="CG326" s="523"/>
      <c r="CH326" s="523"/>
      <c r="CI326" s="523"/>
      <c r="CJ326" s="523"/>
      <c r="CK326" s="523"/>
      <c r="CL326" s="523"/>
      <c r="CM326" s="523"/>
      <c r="CN326" s="523"/>
      <c r="CO326" s="523"/>
      <c r="CP326" s="523"/>
      <c r="CQ326" s="523"/>
      <c r="CR326" s="523"/>
      <c r="CS326" s="523"/>
      <c r="CT326" s="523"/>
      <c r="CU326" s="523"/>
      <c r="CV326" s="523"/>
      <c r="CW326" s="523"/>
      <c r="CX326" s="523"/>
      <c r="CY326" s="523"/>
      <c r="CZ326" s="523"/>
      <c r="DA326" s="523"/>
      <c r="DB326" s="523"/>
      <c r="DC326" s="523"/>
      <c r="DD326" s="523"/>
      <c r="DE326" s="523"/>
      <c r="DF326" s="523"/>
      <c r="DG326" s="523"/>
      <c r="DH326" s="523"/>
      <c r="DI326" s="523"/>
      <c r="DJ326" s="523"/>
      <c r="DK326" s="523"/>
      <c r="DL326" s="523"/>
      <c r="DM326" s="523"/>
      <c r="DN326" s="523"/>
      <c r="DO326" s="523"/>
      <c r="DP326" s="523"/>
      <c r="DQ326" s="523"/>
      <c r="DR326" s="523"/>
      <c r="DS326" s="523"/>
      <c r="DT326" s="523"/>
      <c r="DU326" s="523"/>
      <c r="DV326" s="523"/>
      <c r="DW326" s="523"/>
      <c r="DX326" s="523"/>
      <c r="DY326" s="523"/>
      <c r="DZ326" s="523"/>
      <c r="EA326" s="523"/>
      <c r="EB326" s="523"/>
      <c r="EC326" s="523"/>
      <c r="ED326" s="523"/>
      <c r="EE326" s="523"/>
      <c r="EF326" s="523"/>
      <c r="EG326" s="523"/>
      <c r="EH326" s="523"/>
      <c r="EI326" s="523"/>
      <c r="EJ326" s="523"/>
      <c r="EK326" s="523"/>
      <c r="EL326" s="523"/>
      <c r="EM326" s="523"/>
      <c r="EN326" s="523"/>
      <c r="EO326" s="523"/>
      <c r="EP326" s="523"/>
      <c r="EQ326" s="523"/>
      <c r="ER326" s="523"/>
      <c r="ES326" s="523"/>
      <c r="ET326" s="523"/>
      <c r="EU326" s="523"/>
      <c r="EV326" s="523"/>
      <c r="EW326" s="523"/>
      <c r="EX326" s="523"/>
      <c r="EY326" s="523"/>
      <c r="EZ326" s="523"/>
      <c r="FA326" s="523"/>
      <c r="FB326" s="523"/>
      <c r="FC326" s="523"/>
      <c r="FD326" s="523"/>
      <c r="FE326" s="523"/>
      <c r="FF326" s="523"/>
      <c r="FG326" s="523"/>
      <c r="FH326" s="523"/>
      <c r="FI326" s="523"/>
      <c r="FJ326" s="523"/>
      <c r="FK326" s="523"/>
      <c r="FL326" s="523"/>
      <c r="FM326" s="523"/>
    </row>
    <row r="327" spans="1:169" s="1586" customFormat="1" ht="13.2">
      <c r="A327" s="523"/>
      <c r="B327" s="1585"/>
      <c r="C327" s="523"/>
      <c r="D327" s="523"/>
      <c r="E327" s="523"/>
      <c r="F327" s="524"/>
      <c r="G327" s="523"/>
      <c r="H327" s="523"/>
      <c r="I327" s="523"/>
      <c r="J327" s="523"/>
      <c r="K327" s="523"/>
      <c r="L327" s="1585"/>
      <c r="M327" s="1585"/>
      <c r="N327" s="1585"/>
      <c r="O327" s="523"/>
      <c r="P327" s="607"/>
      <c r="Q327" s="1595"/>
      <c r="R327" s="1595"/>
      <c r="S327" s="1595"/>
      <c r="T327" s="607"/>
      <c r="U327" s="607"/>
      <c r="V327" s="607"/>
      <c r="W327" s="523"/>
      <c r="X327" s="523"/>
      <c r="Y327" s="523"/>
      <c r="Z327" s="523"/>
      <c r="AA327" s="523"/>
      <c r="AB327" s="523"/>
      <c r="AC327" s="523"/>
      <c r="AD327" s="523"/>
      <c r="AE327" s="523"/>
      <c r="AF327" s="523"/>
      <c r="AG327" s="523"/>
      <c r="AH327" s="523"/>
      <c r="AI327" s="523"/>
      <c r="AJ327" s="523"/>
      <c r="AK327" s="523"/>
      <c r="AL327" s="523"/>
      <c r="AM327" s="523"/>
      <c r="AN327" s="523"/>
      <c r="AO327" s="523"/>
      <c r="AP327" s="523"/>
      <c r="AQ327" s="523"/>
      <c r="AR327" s="523"/>
      <c r="AS327" s="523"/>
      <c r="AT327" s="523"/>
      <c r="AU327" s="523"/>
      <c r="AV327" s="523"/>
      <c r="AW327" s="523"/>
      <c r="AX327" s="523"/>
      <c r="AY327" s="523"/>
      <c r="AZ327" s="523"/>
      <c r="BA327" s="523"/>
      <c r="BB327" s="523"/>
      <c r="BC327" s="523"/>
      <c r="BD327" s="523"/>
      <c r="BE327" s="523"/>
      <c r="BF327" s="523"/>
      <c r="BG327" s="523"/>
      <c r="BH327" s="523"/>
      <c r="BI327" s="523"/>
      <c r="BJ327" s="523"/>
      <c r="BK327" s="523"/>
      <c r="BL327" s="523"/>
      <c r="BM327" s="523"/>
      <c r="BN327" s="523"/>
      <c r="BO327" s="523"/>
      <c r="BP327" s="523"/>
      <c r="BQ327" s="523"/>
      <c r="BR327" s="523"/>
      <c r="BS327" s="523"/>
      <c r="BT327" s="523"/>
      <c r="BU327" s="523"/>
      <c r="BV327" s="523"/>
      <c r="BW327" s="523"/>
      <c r="BX327" s="523"/>
      <c r="BY327" s="523"/>
      <c r="BZ327" s="523"/>
      <c r="CA327" s="523"/>
      <c r="CB327" s="523"/>
      <c r="CC327" s="523"/>
      <c r="CD327" s="523"/>
      <c r="CE327" s="523"/>
      <c r="CF327" s="523"/>
      <c r="CG327" s="523"/>
      <c r="CH327" s="523"/>
      <c r="CI327" s="523"/>
      <c r="CJ327" s="523"/>
      <c r="CK327" s="523"/>
      <c r="CL327" s="523"/>
      <c r="CM327" s="523"/>
      <c r="CN327" s="523"/>
      <c r="CO327" s="523"/>
      <c r="CP327" s="523"/>
      <c r="CQ327" s="523"/>
      <c r="CR327" s="523"/>
      <c r="CS327" s="523"/>
      <c r="CT327" s="523"/>
      <c r="CU327" s="523"/>
      <c r="CV327" s="523"/>
      <c r="CW327" s="523"/>
      <c r="CX327" s="523"/>
      <c r="CY327" s="523"/>
      <c r="CZ327" s="523"/>
      <c r="DA327" s="523"/>
      <c r="DB327" s="523"/>
      <c r="DC327" s="523"/>
      <c r="DD327" s="523"/>
      <c r="DE327" s="523"/>
      <c r="DF327" s="523"/>
      <c r="DG327" s="523"/>
      <c r="DH327" s="523"/>
      <c r="DI327" s="523"/>
      <c r="DJ327" s="523"/>
      <c r="DK327" s="523"/>
      <c r="DL327" s="523"/>
      <c r="DM327" s="523"/>
      <c r="DN327" s="523"/>
      <c r="DO327" s="523"/>
      <c r="DP327" s="523"/>
      <c r="DQ327" s="523"/>
      <c r="DR327" s="523"/>
      <c r="DS327" s="523"/>
      <c r="DT327" s="523"/>
      <c r="DU327" s="523"/>
      <c r="DV327" s="523"/>
      <c r="DW327" s="523"/>
      <c r="DX327" s="523"/>
      <c r="DY327" s="523"/>
      <c r="DZ327" s="523"/>
      <c r="EA327" s="523"/>
      <c r="EB327" s="523"/>
      <c r="EC327" s="523"/>
      <c r="ED327" s="523"/>
      <c r="EE327" s="523"/>
      <c r="EF327" s="523"/>
      <c r="EG327" s="523"/>
      <c r="EH327" s="523"/>
      <c r="EI327" s="523"/>
      <c r="EJ327" s="523"/>
      <c r="EK327" s="523"/>
      <c r="EL327" s="523"/>
      <c r="EM327" s="523"/>
      <c r="EN327" s="523"/>
      <c r="EO327" s="523"/>
      <c r="EP327" s="523"/>
      <c r="EQ327" s="523"/>
      <c r="ER327" s="523"/>
      <c r="ES327" s="523"/>
      <c r="ET327" s="523"/>
      <c r="EU327" s="523"/>
      <c r="EV327" s="523"/>
      <c r="EW327" s="523"/>
      <c r="EX327" s="523"/>
      <c r="EY327" s="523"/>
      <c r="EZ327" s="523"/>
      <c r="FA327" s="523"/>
      <c r="FB327" s="523"/>
      <c r="FC327" s="523"/>
      <c r="FD327" s="523"/>
      <c r="FE327" s="523"/>
      <c r="FF327" s="523"/>
      <c r="FG327" s="523"/>
      <c r="FH327" s="523"/>
      <c r="FI327" s="523"/>
      <c r="FJ327" s="523"/>
      <c r="FK327" s="523"/>
      <c r="FL327" s="523"/>
      <c r="FM327" s="523"/>
    </row>
    <row r="328" spans="1:169" s="1586" customFormat="1" ht="13.2">
      <c r="A328" s="523"/>
      <c r="B328" s="1585"/>
      <c r="C328" s="523"/>
      <c r="D328" s="523"/>
      <c r="E328" s="523"/>
      <c r="F328" s="524"/>
      <c r="G328" s="523"/>
      <c r="H328" s="523"/>
      <c r="I328" s="523"/>
      <c r="J328" s="523"/>
      <c r="K328" s="523"/>
      <c r="L328" s="1585"/>
      <c r="M328" s="1585"/>
      <c r="N328" s="1585"/>
      <c r="O328" s="523"/>
      <c r="P328" s="607"/>
      <c r="Q328" s="1595"/>
      <c r="R328" s="1595"/>
      <c r="S328" s="1595"/>
      <c r="T328" s="607"/>
      <c r="U328" s="607"/>
      <c r="V328" s="607"/>
      <c r="W328" s="523"/>
      <c r="X328" s="523"/>
      <c r="Y328" s="523"/>
      <c r="Z328" s="523"/>
      <c r="AA328" s="523"/>
      <c r="AB328" s="523"/>
      <c r="AC328" s="523"/>
      <c r="AD328" s="523"/>
      <c r="AE328" s="523"/>
      <c r="AF328" s="523"/>
      <c r="AG328" s="523"/>
      <c r="AH328" s="523"/>
      <c r="AI328" s="523"/>
      <c r="AJ328" s="523"/>
      <c r="AK328" s="523"/>
      <c r="AL328" s="523"/>
      <c r="AM328" s="523"/>
      <c r="AN328" s="523"/>
      <c r="AO328" s="523"/>
      <c r="AP328" s="523"/>
      <c r="AQ328" s="523"/>
      <c r="AR328" s="523"/>
      <c r="AS328" s="523"/>
      <c r="AT328" s="523"/>
      <c r="AU328" s="523"/>
      <c r="AV328" s="523"/>
      <c r="AW328" s="523"/>
      <c r="AX328" s="523"/>
      <c r="AY328" s="523"/>
      <c r="AZ328" s="523"/>
      <c r="BA328" s="523"/>
      <c r="BB328" s="523"/>
      <c r="BC328" s="523"/>
      <c r="BD328" s="523"/>
      <c r="BE328" s="523"/>
      <c r="BF328" s="523"/>
      <c r="BG328" s="523"/>
      <c r="BH328" s="523"/>
      <c r="BI328" s="523"/>
      <c r="BJ328" s="523"/>
      <c r="BK328" s="523"/>
      <c r="BL328" s="523"/>
      <c r="BM328" s="523"/>
      <c r="BN328" s="523"/>
      <c r="BO328" s="523"/>
      <c r="BP328" s="523"/>
      <c r="BQ328" s="523"/>
      <c r="BR328" s="523"/>
      <c r="BS328" s="523"/>
      <c r="BT328" s="523"/>
      <c r="BU328" s="523"/>
      <c r="BV328" s="523"/>
      <c r="BW328" s="523"/>
      <c r="BX328" s="523"/>
      <c r="BY328" s="523"/>
      <c r="BZ328" s="523"/>
      <c r="CA328" s="523"/>
      <c r="CB328" s="523"/>
      <c r="CC328" s="523"/>
      <c r="CD328" s="523"/>
      <c r="CE328" s="523"/>
      <c r="CF328" s="523"/>
      <c r="CG328" s="523"/>
      <c r="CH328" s="523"/>
      <c r="CI328" s="523"/>
      <c r="CJ328" s="523"/>
      <c r="CK328" s="523"/>
      <c r="CL328" s="523"/>
      <c r="CM328" s="523"/>
      <c r="CN328" s="523"/>
      <c r="CO328" s="523"/>
      <c r="CP328" s="523"/>
      <c r="CQ328" s="523"/>
      <c r="CR328" s="523"/>
      <c r="CS328" s="523"/>
      <c r="CT328" s="523"/>
      <c r="CU328" s="523"/>
      <c r="CV328" s="523"/>
      <c r="CW328" s="523"/>
      <c r="CX328" s="523"/>
      <c r="CY328" s="523"/>
      <c r="CZ328" s="523"/>
      <c r="DA328" s="523"/>
      <c r="DB328" s="523"/>
      <c r="DC328" s="523"/>
      <c r="DD328" s="523"/>
      <c r="DE328" s="523"/>
      <c r="DF328" s="523"/>
      <c r="DG328" s="523"/>
      <c r="DH328" s="523"/>
      <c r="DI328" s="523"/>
      <c r="DJ328" s="523"/>
      <c r="DK328" s="523"/>
      <c r="DL328" s="523"/>
      <c r="DM328" s="523"/>
      <c r="DN328" s="523"/>
      <c r="DO328" s="523"/>
      <c r="DP328" s="523"/>
      <c r="DQ328" s="523"/>
      <c r="DR328" s="523"/>
      <c r="DS328" s="523"/>
      <c r="DT328" s="523"/>
      <c r="DU328" s="523"/>
      <c r="DV328" s="523"/>
      <c r="DW328" s="523"/>
      <c r="DX328" s="523"/>
      <c r="DY328" s="523"/>
      <c r="DZ328" s="523"/>
      <c r="EA328" s="523"/>
      <c r="EB328" s="523"/>
      <c r="EC328" s="523"/>
      <c r="ED328" s="523"/>
      <c r="EE328" s="523"/>
      <c r="EF328" s="523"/>
      <c r="EG328" s="523"/>
      <c r="EH328" s="523"/>
      <c r="EI328" s="523"/>
      <c r="EJ328" s="523"/>
      <c r="EK328" s="523"/>
      <c r="EL328" s="523"/>
      <c r="EM328" s="523"/>
      <c r="EN328" s="523"/>
      <c r="EO328" s="523"/>
      <c r="EP328" s="523"/>
      <c r="EQ328" s="523"/>
      <c r="ER328" s="523"/>
      <c r="ES328" s="523"/>
      <c r="ET328" s="523"/>
      <c r="EU328" s="523"/>
      <c r="EV328" s="523"/>
      <c r="EW328" s="523"/>
      <c r="EX328" s="523"/>
      <c r="EY328" s="523"/>
      <c r="EZ328" s="523"/>
      <c r="FA328" s="523"/>
      <c r="FB328" s="523"/>
      <c r="FC328" s="523"/>
      <c r="FD328" s="523"/>
      <c r="FE328" s="523"/>
      <c r="FF328" s="523"/>
      <c r="FG328" s="523"/>
      <c r="FH328" s="523"/>
      <c r="FI328" s="523"/>
      <c r="FJ328" s="523"/>
      <c r="FK328" s="523"/>
      <c r="FL328" s="523"/>
      <c r="FM328" s="523"/>
    </row>
    <row r="329" spans="1:169" s="1586" customFormat="1" ht="13.2">
      <c r="A329" s="523"/>
      <c r="B329" s="1585"/>
      <c r="C329" s="523"/>
      <c r="D329" s="523"/>
      <c r="E329" s="523"/>
      <c r="F329" s="524"/>
      <c r="G329" s="523"/>
      <c r="H329" s="523"/>
      <c r="I329" s="523"/>
      <c r="J329" s="523"/>
      <c r="K329" s="523"/>
      <c r="L329" s="1585"/>
      <c r="M329" s="1585"/>
      <c r="N329" s="1585"/>
      <c r="O329" s="523"/>
      <c r="P329" s="607"/>
      <c r="Q329" s="1595"/>
      <c r="R329" s="1595"/>
      <c r="S329" s="1595"/>
      <c r="T329" s="607"/>
      <c r="U329" s="607"/>
      <c r="V329" s="607"/>
      <c r="W329" s="523"/>
      <c r="X329" s="523"/>
      <c r="Y329" s="523"/>
      <c r="Z329" s="523"/>
      <c r="AA329" s="523"/>
      <c r="AB329" s="523"/>
      <c r="AC329" s="523"/>
      <c r="AD329" s="523"/>
      <c r="AE329" s="523"/>
      <c r="AF329" s="523"/>
      <c r="AG329" s="523"/>
      <c r="AH329" s="523"/>
      <c r="AI329" s="523"/>
      <c r="AJ329" s="523"/>
      <c r="AK329" s="523"/>
      <c r="AL329" s="523"/>
      <c r="AM329" s="523"/>
      <c r="AN329" s="523"/>
      <c r="AO329" s="523"/>
      <c r="AP329" s="523"/>
      <c r="AQ329" s="523"/>
      <c r="AR329" s="523"/>
      <c r="AS329" s="523"/>
      <c r="AT329" s="523"/>
      <c r="AU329" s="523"/>
      <c r="AV329" s="523"/>
      <c r="AW329" s="523"/>
      <c r="AX329" s="523"/>
      <c r="AY329" s="523"/>
      <c r="AZ329" s="523"/>
      <c r="BA329" s="523"/>
      <c r="BB329" s="523"/>
      <c r="BC329" s="523"/>
      <c r="BD329" s="523"/>
      <c r="BE329" s="523"/>
      <c r="BF329" s="523"/>
      <c r="BG329" s="523"/>
      <c r="BH329" s="523"/>
      <c r="BI329" s="523"/>
      <c r="BJ329" s="523"/>
      <c r="BK329" s="523"/>
      <c r="BL329" s="523"/>
      <c r="BM329" s="523"/>
      <c r="BN329" s="523"/>
      <c r="BO329" s="523"/>
      <c r="BP329" s="523"/>
      <c r="BQ329" s="523"/>
      <c r="BR329" s="523"/>
      <c r="BS329" s="523"/>
      <c r="BT329" s="523"/>
      <c r="BU329" s="523"/>
      <c r="BV329" s="523"/>
      <c r="BW329" s="523"/>
      <c r="BX329" s="523"/>
      <c r="BY329" s="523"/>
      <c r="BZ329" s="523"/>
      <c r="CA329" s="523"/>
      <c r="CB329" s="523"/>
      <c r="CC329" s="523"/>
      <c r="CD329" s="523"/>
      <c r="CE329" s="523"/>
      <c r="CF329" s="523"/>
      <c r="CG329" s="523"/>
      <c r="CH329" s="523"/>
      <c r="CI329" s="523"/>
      <c r="CJ329" s="523"/>
      <c r="CK329" s="523"/>
      <c r="CL329" s="523"/>
      <c r="CM329" s="523"/>
      <c r="CN329" s="523"/>
      <c r="CO329" s="523"/>
      <c r="CP329" s="523"/>
      <c r="CQ329" s="523"/>
      <c r="CR329" s="523"/>
      <c r="CS329" s="523"/>
      <c r="CT329" s="523"/>
      <c r="CU329" s="523"/>
      <c r="CV329" s="523"/>
      <c r="CW329" s="523"/>
      <c r="CX329" s="523"/>
      <c r="CY329" s="523"/>
      <c r="CZ329" s="523"/>
      <c r="DA329" s="523"/>
      <c r="DB329" s="523"/>
      <c r="DC329" s="523"/>
      <c r="DD329" s="523"/>
      <c r="DE329" s="523"/>
      <c r="DF329" s="523"/>
      <c r="DG329" s="523"/>
      <c r="DH329" s="523"/>
      <c r="DI329" s="523"/>
      <c r="DJ329" s="523"/>
      <c r="DK329" s="523"/>
      <c r="DL329" s="523"/>
      <c r="DM329" s="523"/>
      <c r="DN329" s="523"/>
      <c r="DO329" s="523"/>
      <c r="DP329" s="523"/>
      <c r="DQ329" s="523"/>
      <c r="DR329" s="523"/>
      <c r="DS329" s="523"/>
      <c r="DT329" s="523"/>
      <c r="DU329" s="523"/>
      <c r="DV329" s="523"/>
      <c r="DW329" s="523"/>
      <c r="DX329" s="523"/>
      <c r="DY329" s="523"/>
      <c r="DZ329" s="523"/>
      <c r="EA329" s="523"/>
      <c r="EB329" s="523"/>
      <c r="EC329" s="523"/>
      <c r="ED329" s="523"/>
      <c r="EE329" s="523"/>
      <c r="EF329" s="523"/>
      <c r="EG329" s="523"/>
      <c r="EH329" s="523"/>
      <c r="EI329" s="523"/>
      <c r="EJ329" s="523"/>
      <c r="EK329" s="523"/>
      <c r="EL329" s="523"/>
      <c r="EM329" s="523"/>
      <c r="EN329" s="523"/>
      <c r="EO329" s="523"/>
      <c r="EP329" s="523"/>
      <c r="EQ329" s="523"/>
      <c r="ER329" s="523"/>
      <c r="ES329" s="523"/>
      <c r="ET329" s="523"/>
      <c r="EU329" s="523"/>
      <c r="EV329" s="523"/>
      <c r="EW329" s="523"/>
      <c r="EX329" s="523"/>
      <c r="EY329" s="523"/>
      <c r="EZ329" s="523"/>
      <c r="FA329" s="523"/>
      <c r="FB329" s="523"/>
      <c r="FC329" s="523"/>
      <c r="FD329" s="523"/>
      <c r="FE329" s="523"/>
      <c r="FF329" s="523"/>
      <c r="FG329" s="523"/>
      <c r="FH329" s="523"/>
      <c r="FI329" s="523"/>
      <c r="FJ329" s="523"/>
      <c r="FK329" s="523"/>
      <c r="FL329" s="523"/>
      <c r="FM329" s="523"/>
    </row>
    <row r="330" spans="1:169" s="1586" customFormat="1" ht="13.2">
      <c r="A330" s="523"/>
      <c r="B330" s="1585"/>
      <c r="C330" s="523"/>
      <c r="D330" s="523"/>
      <c r="E330" s="523"/>
      <c r="F330" s="524"/>
      <c r="G330" s="523"/>
      <c r="H330" s="523"/>
      <c r="I330" s="523"/>
      <c r="J330" s="523"/>
      <c r="K330" s="523"/>
      <c r="L330" s="1585"/>
      <c r="M330" s="1585"/>
      <c r="N330" s="1585"/>
      <c r="O330" s="523"/>
      <c r="P330" s="607"/>
      <c r="Q330" s="1595"/>
      <c r="R330" s="1595"/>
      <c r="S330" s="1595"/>
      <c r="T330" s="607"/>
      <c r="U330" s="607"/>
      <c r="V330" s="607"/>
      <c r="W330" s="523"/>
      <c r="X330" s="523"/>
      <c r="Y330" s="523"/>
      <c r="Z330" s="523"/>
      <c r="AA330" s="523"/>
      <c r="AB330" s="523"/>
      <c r="AC330" s="523"/>
      <c r="AD330" s="523"/>
      <c r="AE330" s="523"/>
      <c r="AF330" s="523"/>
      <c r="AG330" s="523"/>
      <c r="AH330" s="523"/>
      <c r="AI330" s="523"/>
      <c r="AJ330" s="523"/>
      <c r="AK330" s="523"/>
      <c r="AL330" s="523"/>
      <c r="AM330" s="523"/>
      <c r="AN330" s="523"/>
      <c r="AO330" s="523"/>
      <c r="AP330" s="523"/>
      <c r="AQ330" s="523"/>
      <c r="AR330" s="523"/>
      <c r="AS330" s="523"/>
      <c r="AT330" s="523"/>
      <c r="AU330" s="523"/>
      <c r="AV330" s="523"/>
      <c r="AW330" s="523"/>
      <c r="AX330" s="523"/>
      <c r="AY330" s="523"/>
      <c r="AZ330" s="523"/>
      <c r="BA330" s="523"/>
      <c r="BB330" s="523"/>
      <c r="BC330" s="523"/>
      <c r="BD330" s="523"/>
      <c r="BE330" s="523"/>
      <c r="BF330" s="523"/>
      <c r="BG330" s="523"/>
      <c r="BH330" s="523"/>
      <c r="BI330" s="523"/>
      <c r="BJ330" s="523"/>
      <c r="BK330" s="523"/>
      <c r="BL330" s="523"/>
      <c r="BM330" s="523"/>
      <c r="BN330" s="523"/>
      <c r="BO330" s="523"/>
      <c r="BP330" s="523"/>
      <c r="BQ330" s="523"/>
      <c r="BR330" s="523"/>
      <c r="BS330" s="523"/>
      <c r="BT330" s="523"/>
      <c r="BU330" s="523"/>
      <c r="BV330" s="523"/>
      <c r="BW330" s="523"/>
      <c r="BX330" s="523"/>
      <c r="BY330" s="523"/>
      <c r="BZ330" s="523"/>
      <c r="CA330" s="523"/>
      <c r="CB330" s="523"/>
      <c r="CC330" s="523"/>
      <c r="CD330" s="523"/>
      <c r="CE330" s="523"/>
      <c r="CF330" s="523"/>
      <c r="CG330" s="523"/>
      <c r="CH330" s="523"/>
      <c r="CI330" s="523"/>
      <c r="CJ330" s="523"/>
      <c r="CK330" s="523"/>
      <c r="CL330" s="523"/>
      <c r="CM330" s="523"/>
      <c r="CN330" s="523"/>
      <c r="CO330" s="523"/>
      <c r="CP330" s="523"/>
      <c r="CQ330" s="523"/>
      <c r="CR330" s="523"/>
      <c r="CS330" s="523"/>
      <c r="CT330" s="523"/>
      <c r="CU330" s="523"/>
      <c r="CV330" s="523"/>
      <c r="CW330" s="523"/>
      <c r="CX330" s="523"/>
      <c r="CY330" s="523"/>
      <c r="CZ330" s="523"/>
      <c r="DA330" s="523"/>
      <c r="DB330" s="523"/>
      <c r="DC330" s="523"/>
      <c r="DD330" s="523"/>
      <c r="DE330" s="523"/>
      <c r="DF330" s="523"/>
      <c r="DG330" s="523"/>
      <c r="DH330" s="523"/>
      <c r="DI330" s="523"/>
      <c r="DJ330" s="523"/>
      <c r="DK330" s="523"/>
      <c r="DL330" s="523"/>
      <c r="DM330" s="523"/>
      <c r="DN330" s="523"/>
      <c r="DO330" s="523"/>
      <c r="DP330" s="523"/>
      <c r="DQ330" s="523"/>
      <c r="DR330" s="523"/>
      <c r="DS330" s="523"/>
      <c r="DT330" s="523"/>
      <c r="DU330" s="523"/>
      <c r="DV330" s="523"/>
      <c r="DW330" s="523"/>
      <c r="DX330" s="523"/>
      <c r="DY330" s="523"/>
      <c r="DZ330" s="523"/>
      <c r="EA330" s="523"/>
      <c r="EB330" s="523"/>
      <c r="EC330" s="523"/>
      <c r="ED330" s="523"/>
      <c r="EE330" s="523"/>
      <c r="EF330" s="523"/>
      <c r="EG330" s="523"/>
      <c r="EH330" s="523"/>
      <c r="EI330" s="523"/>
      <c r="EJ330" s="523"/>
      <c r="EK330" s="523"/>
      <c r="EL330" s="523"/>
      <c r="EM330" s="523"/>
      <c r="EN330" s="523"/>
      <c r="EO330" s="523"/>
      <c r="EP330" s="523"/>
      <c r="EQ330" s="523"/>
      <c r="ER330" s="523"/>
      <c r="ES330" s="523"/>
      <c r="ET330" s="523"/>
      <c r="EU330" s="523"/>
      <c r="EV330" s="523"/>
      <c r="EW330" s="523"/>
      <c r="EX330" s="523"/>
      <c r="EY330" s="523"/>
      <c r="EZ330" s="523"/>
      <c r="FA330" s="523"/>
      <c r="FB330" s="523"/>
      <c r="FC330" s="523"/>
      <c r="FD330" s="523"/>
      <c r="FE330" s="523"/>
      <c r="FF330" s="523"/>
      <c r="FG330" s="523"/>
      <c r="FH330" s="523"/>
      <c r="FI330" s="523"/>
      <c r="FJ330" s="523"/>
      <c r="FK330" s="523"/>
      <c r="FL330" s="523"/>
      <c r="FM330" s="523"/>
    </row>
    <row r="331" spans="1:169" s="1586" customFormat="1" ht="13.2">
      <c r="A331" s="523"/>
      <c r="B331" s="1585"/>
      <c r="C331" s="523"/>
      <c r="D331" s="523"/>
      <c r="E331" s="523"/>
      <c r="F331" s="524"/>
      <c r="G331" s="523"/>
      <c r="H331" s="523"/>
      <c r="I331" s="523"/>
      <c r="J331" s="523"/>
      <c r="K331" s="523"/>
      <c r="L331" s="1585"/>
      <c r="M331" s="1585"/>
      <c r="N331" s="1585"/>
      <c r="O331" s="523"/>
      <c r="P331" s="607"/>
      <c r="Q331" s="1595"/>
      <c r="R331" s="1595"/>
      <c r="S331" s="1595"/>
      <c r="T331" s="607"/>
      <c r="U331" s="607"/>
      <c r="V331" s="607"/>
      <c r="W331" s="523"/>
      <c r="X331" s="523"/>
      <c r="Y331" s="523"/>
      <c r="Z331" s="523"/>
      <c r="AA331" s="523"/>
      <c r="AB331" s="523"/>
      <c r="AC331" s="523"/>
      <c r="AD331" s="523"/>
      <c r="AE331" s="523"/>
      <c r="AF331" s="523"/>
      <c r="AG331" s="523"/>
      <c r="AH331" s="523"/>
      <c r="AI331" s="523"/>
      <c r="AJ331" s="523"/>
      <c r="AK331" s="523"/>
      <c r="AL331" s="523"/>
      <c r="AM331" s="523"/>
      <c r="AN331" s="523"/>
      <c r="AO331" s="523"/>
      <c r="AP331" s="523"/>
      <c r="AQ331" s="523"/>
      <c r="AR331" s="523"/>
      <c r="AS331" s="523"/>
      <c r="AT331" s="523"/>
      <c r="AU331" s="523"/>
      <c r="AV331" s="523"/>
      <c r="AW331" s="523"/>
      <c r="AX331" s="523"/>
      <c r="AY331" s="523"/>
      <c r="AZ331" s="523"/>
      <c r="BA331" s="523"/>
      <c r="BB331" s="523"/>
      <c r="BC331" s="523"/>
      <c r="BD331" s="523"/>
      <c r="BE331" s="523"/>
      <c r="BF331" s="523"/>
      <c r="BG331" s="523"/>
      <c r="BH331" s="523"/>
      <c r="BI331" s="523"/>
      <c r="BJ331" s="523"/>
      <c r="BK331" s="523"/>
      <c r="BL331" s="523"/>
      <c r="BM331" s="523"/>
      <c r="BN331" s="523"/>
      <c r="BO331" s="523"/>
      <c r="BP331" s="523"/>
      <c r="BQ331" s="523"/>
      <c r="BR331" s="523"/>
      <c r="BS331" s="523"/>
      <c r="BT331" s="523"/>
      <c r="BU331" s="523"/>
      <c r="BV331" s="523"/>
      <c r="BW331" s="523"/>
      <c r="BX331" s="523"/>
      <c r="BY331" s="523"/>
      <c r="BZ331" s="523"/>
      <c r="CA331" s="523"/>
      <c r="CB331" s="523"/>
      <c r="CC331" s="523"/>
      <c r="CD331" s="523"/>
      <c r="CE331" s="523"/>
      <c r="CF331" s="523"/>
      <c r="CG331" s="523"/>
      <c r="CH331" s="523"/>
      <c r="CI331" s="523"/>
      <c r="CJ331" s="523"/>
      <c r="CK331" s="523"/>
      <c r="CL331" s="523"/>
      <c r="CM331" s="523"/>
      <c r="CN331" s="523"/>
      <c r="CO331" s="523"/>
      <c r="CP331" s="523"/>
      <c r="CQ331" s="523"/>
      <c r="CR331" s="523"/>
      <c r="CS331" s="523"/>
      <c r="CT331" s="523"/>
      <c r="CU331" s="523"/>
      <c r="CV331" s="523"/>
      <c r="CW331" s="523"/>
      <c r="CX331" s="523"/>
      <c r="CY331" s="523"/>
      <c r="CZ331" s="523"/>
      <c r="DA331" s="523"/>
      <c r="DB331" s="523"/>
      <c r="DC331" s="523"/>
      <c r="DD331" s="523"/>
      <c r="DE331" s="523"/>
      <c r="DF331" s="523"/>
      <c r="DG331" s="523"/>
      <c r="DH331" s="523"/>
      <c r="DI331" s="523"/>
      <c r="DJ331" s="523"/>
      <c r="DK331" s="523"/>
      <c r="DL331" s="523"/>
      <c r="DM331" s="523"/>
      <c r="DN331" s="523"/>
      <c r="DO331" s="523"/>
      <c r="DP331" s="523"/>
      <c r="DQ331" s="523"/>
      <c r="DR331" s="523"/>
      <c r="DS331" s="523"/>
      <c r="DT331" s="523"/>
      <c r="DU331" s="523"/>
      <c r="DV331" s="523"/>
      <c r="DW331" s="523"/>
      <c r="DX331" s="523"/>
      <c r="DY331" s="523"/>
      <c r="DZ331" s="523"/>
      <c r="EA331" s="523"/>
      <c r="EB331" s="523"/>
      <c r="EC331" s="523"/>
      <c r="ED331" s="523"/>
      <c r="EE331" s="523"/>
      <c r="EF331" s="523"/>
      <c r="EG331" s="523"/>
      <c r="EH331" s="523"/>
      <c r="EI331" s="523"/>
      <c r="EJ331" s="523"/>
      <c r="EK331" s="523"/>
      <c r="EL331" s="523"/>
      <c r="EM331" s="523"/>
      <c r="EN331" s="523"/>
      <c r="EO331" s="523"/>
      <c r="EP331" s="523"/>
      <c r="EQ331" s="523"/>
      <c r="ER331" s="523"/>
      <c r="ES331" s="523"/>
      <c r="ET331" s="523"/>
      <c r="EU331" s="523"/>
      <c r="EV331" s="523"/>
      <c r="EW331" s="523"/>
      <c r="EX331" s="523"/>
      <c r="EY331" s="523"/>
      <c r="EZ331" s="523"/>
      <c r="FA331" s="523"/>
      <c r="FB331" s="523"/>
      <c r="FC331" s="523"/>
      <c r="FD331" s="523"/>
      <c r="FE331" s="523"/>
      <c r="FF331" s="523"/>
      <c r="FG331" s="523"/>
      <c r="FH331" s="523"/>
      <c r="FI331" s="523"/>
      <c r="FJ331" s="523"/>
      <c r="FK331" s="523"/>
      <c r="FL331" s="523"/>
      <c r="FM331" s="523"/>
    </row>
    <row r="332" spans="1:169" s="1586" customFormat="1" ht="13.2">
      <c r="A332" s="523"/>
      <c r="B332" s="1585"/>
      <c r="C332" s="523"/>
      <c r="D332" s="523"/>
      <c r="E332" s="523"/>
      <c r="F332" s="524"/>
      <c r="G332" s="523"/>
      <c r="H332" s="523"/>
      <c r="I332" s="523"/>
      <c r="J332" s="523"/>
      <c r="K332" s="523"/>
      <c r="L332" s="1585"/>
      <c r="M332" s="1585"/>
      <c r="N332" s="1585"/>
      <c r="O332" s="523"/>
      <c r="P332" s="607"/>
      <c r="Q332" s="1595"/>
      <c r="R332" s="1595"/>
      <c r="S332" s="1595"/>
      <c r="T332" s="607"/>
      <c r="U332" s="607"/>
      <c r="V332" s="607"/>
      <c r="W332" s="523"/>
      <c r="X332" s="523"/>
      <c r="Y332" s="523"/>
      <c r="Z332" s="523"/>
      <c r="AA332" s="523"/>
      <c r="AB332" s="523"/>
      <c r="AC332" s="523"/>
      <c r="AD332" s="523"/>
      <c r="AE332" s="523"/>
      <c r="AF332" s="523"/>
      <c r="AG332" s="523"/>
      <c r="AH332" s="523"/>
      <c r="AI332" s="523"/>
      <c r="AJ332" s="523"/>
      <c r="AK332" s="523"/>
      <c r="AL332" s="523"/>
      <c r="AM332" s="523"/>
      <c r="AN332" s="523"/>
      <c r="AO332" s="523"/>
      <c r="AP332" s="523"/>
      <c r="AQ332" s="523"/>
      <c r="AR332" s="523"/>
      <c r="AS332" s="523"/>
      <c r="AT332" s="523"/>
      <c r="AU332" s="523"/>
      <c r="AV332" s="523"/>
      <c r="AW332" s="523"/>
      <c r="AX332" s="523"/>
      <c r="AY332" s="523"/>
      <c r="AZ332" s="523"/>
      <c r="BA332" s="523"/>
      <c r="BB332" s="523"/>
      <c r="BC332" s="523"/>
      <c r="BD332" s="523"/>
      <c r="BE332" s="523"/>
      <c r="BF332" s="523"/>
      <c r="BG332" s="523"/>
      <c r="BH332" s="523"/>
      <c r="BI332" s="523"/>
      <c r="BJ332" s="523"/>
      <c r="BK332" s="523"/>
      <c r="BL332" s="523"/>
      <c r="BM332" s="523"/>
      <c r="BN332" s="523"/>
      <c r="BO332" s="523"/>
      <c r="BP332" s="523"/>
      <c r="BQ332" s="523"/>
      <c r="BR332" s="523"/>
      <c r="BS332" s="523"/>
      <c r="BT332" s="523"/>
      <c r="BU332" s="523"/>
      <c r="BV332" s="523"/>
      <c r="BW332" s="523"/>
      <c r="BX332" s="523"/>
      <c r="BY332" s="523"/>
      <c r="BZ332" s="523"/>
      <c r="CA332" s="523"/>
      <c r="CB332" s="523"/>
      <c r="CC332" s="523"/>
      <c r="CD332" s="523"/>
      <c r="CE332" s="523"/>
      <c r="CF332" s="523"/>
      <c r="CG332" s="523"/>
      <c r="CH332" s="523"/>
      <c r="CI332" s="523"/>
      <c r="CJ332" s="523"/>
      <c r="CK332" s="523"/>
      <c r="CL332" s="523"/>
      <c r="CM332" s="523"/>
      <c r="CN332" s="523"/>
      <c r="CO332" s="523"/>
      <c r="CP332" s="523"/>
      <c r="CQ332" s="523"/>
      <c r="CR332" s="523"/>
      <c r="CS332" s="523"/>
      <c r="CT332" s="523"/>
      <c r="CU332" s="523"/>
      <c r="CV332" s="523"/>
      <c r="CW332" s="523"/>
      <c r="CX332" s="523"/>
      <c r="CY332" s="523"/>
      <c r="CZ332" s="523"/>
      <c r="DA332" s="523"/>
      <c r="DB332" s="523"/>
      <c r="DC332" s="523"/>
      <c r="DD332" s="523"/>
      <c r="DE332" s="523"/>
      <c r="DF332" s="523"/>
      <c r="DG332" s="523"/>
      <c r="DH332" s="523"/>
      <c r="DI332" s="523"/>
      <c r="DJ332" s="523"/>
      <c r="DK332" s="523"/>
      <c r="DL332" s="523"/>
      <c r="DM332" s="523"/>
      <c r="DN332" s="523"/>
      <c r="DO332" s="523"/>
      <c r="DP332" s="523"/>
      <c r="DQ332" s="523"/>
      <c r="DR332" s="523"/>
      <c r="DS332" s="523"/>
      <c r="DT332" s="523"/>
      <c r="DU332" s="523"/>
      <c r="DV332" s="523"/>
      <c r="DW332" s="523"/>
      <c r="DX332" s="523"/>
      <c r="DY332" s="523"/>
      <c r="DZ332" s="523"/>
      <c r="EA332" s="523"/>
      <c r="EB332" s="523"/>
      <c r="EC332" s="523"/>
      <c r="ED332" s="523"/>
      <c r="EE332" s="523"/>
      <c r="EF332" s="523"/>
      <c r="EG332" s="523"/>
      <c r="EH332" s="523"/>
      <c r="EI332" s="523"/>
      <c r="EJ332" s="523"/>
      <c r="EK332" s="523"/>
      <c r="EL332" s="523"/>
      <c r="EM332" s="523"/>
      <c r="EN332" s="523"/>
      <c r="EO332" s="523"/>
      <c r="EP332" s="523"/>
      <c r="EQ332" s="523"/>
      <c r="ER332" s="523"/>
      <c r="ES332" s="523"/>
      <c r="ET332" s="523"/>
      <c r="EU332" s="523"/>
      <c r="EV332" s="523"/>
      <c r="EW332" s="523"/>
      <c r="EX332" s="523"/>
      <c r="EY332" s="523"/>
      <c r="EZ332" s="523"/>
      <c r="FA332" s="523"/>
      <c r="FB332" s="523"/>
      <c r="FC332" s="523"/>
      <c r="FD332" s="523"/>
      <c r="FE332" s="523"/>
      <c r="FF332" s="523"/>
      <c r="FG332" s="523"/>
      <c r="FH332" s="523"/>
      <c r="FI332" s="523"/>
      <c r="FJ332" s="523"/>
      <c r="FK332" s="523"/>
      <c r="FL332" s="523"/>
      <c r="FM332" s="523"/>
    </row>
    <row r="333" spans="1:169" s="1586" customFormat="1" ht="13.2">
      <c r="A333" s="523"/>
      <c r="B333" s="1585"/>
      <c r="C333" s="523"/>
      <c r="D333" s="523"/>
      <c r="E333" s="523"/>
      <c r="F333" s="524"/>
      <c r="G333" s="523"/>
      <c r="H333" s="523"/>
      <c r="I333" s="523"/>
      <c r="J333" s="523"/>
      <c r="K333" s="523"/>
      <c r="L333" s="1585"/>
      <c r="M333" s="1585"/>
      <c r="N333" s="1585"/>
      <c r="O333" s="523"/>
      <c r="P333" s="607"/>
      <c r="Q333" s="1595"/>
      <c r="R333" s="1595"/>
      <c r="S333" s="1595"/>
      <c r="T333" s="607"/>
      <c r="U333" s="607"/>
      <c r="V333" s="607"/>
      <c r="W333" s="523"/>
      <c r="X333" s="523"/>
      <c r="Y333" s="523"/>
      <c r="Z333" s="523"/>
      <c r="AA333" s="523"/>
      <c r="AB333" s="523"/>
      <c r="AC333" s="523"/>
      <c r="AD333" s="523"/>
      <c r="AE333" s="523"/>
      <c r="AF333" s="523"/>
      <c r="AG333" s="523"/>
      <c r="AH333" s="523"/>
      <c r="AI333" s="523"/>
      <c r="AJ333" s="523"/>
      <c r="AK333" s="523"/>
      <c r="AL333" s="523"/>
      <c r="AM333" s="523"/>
      <c r="AN333" s="523"/>
      <c r="AO333" s="523"/>
      <c r="AP333" s="523"/>
      <c r="AQ333" s="523"/>
      <c r="AR333" s="523"/>
      <c r="AS333" s="523"/>
      <c r="AT333" s="523"/>
      <c r="AU333" s="523"/>
      <c r="AV333" s="523"/>
      <c r="AW333" s="523"/>
      <c r="AX333" s="523"/>
      <c r="AY333" s="523"/>
      <c r="AZ333" s="523"/>
      <c r="BA333" s="523"/>
      <c r="BB333" s="523"/>
      <c r="BC333" s="523"/>
      <c r="BD333" s="523"/>
      <c r="BE333" s="523"/>
      <c r="BF333" s="523"/>
      <c r="BG333" s="523"/>
      <c r="BH333" s="523"/>
      <c r="BI333" s="523"/>
      <c r="BJ333" s="523"/>
      <c r="BK333" s="523"/>
      <c r="BL333" s="523"/>
      <c r="BM333" s="523"/>
      <c r="BN333" s="523"/>
      <c r="BO333" s="523"/>
      <c r="BP333" s="523"/>
      <c r="BQ333" s="523"/>
      <c r="BR333" s="523"/>
      <c r="BS333" s="523"/>
      <c r="BT333" s="523"/>
      <c r="BU333" s="523"/>
      <c r="BV333" s="523"/>
      <c r="BW333" s="523"/>
      <c r="BX333" s="523"/>
      <c r="BY333" s="523"/>
      <c r="BZ333" s="523"/>
      <c r="CA333" s="523"/>
      <c r="CB333" s="523"/>
      <c r="CC333" s="523"/>
      <c r="CD333" s="523"/>
      <c r="CE333" s="523"/>
      <c r="CF333" s="523"/>
      <c r="CG333" s="523"/>
      <c r="CH333" s="523"/>
      <c r="CI333" s="523"/>
      <c r="CJ333" s="523"/>
      <c r="CK333" s="523"/>
      <c r="CL333" s="523"/>
      <c r="CM333" s="523"/>
      <c r="CN333" s="523"/>
      <c r="CO333" s="523"/>
      <c r="CP333" s="523"/>
      <c r="CQ333" s="523"/>
      <c r="CR333" s="523"/>
      <c r="CS333" s="523"/>
      <c r="CT333" s="523"/>
      <c r="CU333" s="523"/>
      <c r="CV333" s="523"/>
      <c r="CW333" s="523"/>
      <c r="CX333" s="523"/>
      <c r="CY333" s="523"/>
      <c r="CZ333" s="523"/>
      <c r="DA333" s="523"/>
      <c r="DB333" s="523"/>
      <c r="DC333" s="523"/>
      <c r="DD333" s="523"/>
      <c r="DE333" s="523"/>
      <c r="DF333" s="523"/>
      <c r="DG333" s="523"/>
      <c r="DH333" s="523"/>
      <c r="DI333" s="523"/>
      <c r="DJ333" s="523"/>
      <c r="DK333" s="523"/>
      <c r="DL333" s="523"/>
      <c r="DM333" s="523"/>
      <c r="DN333" s="523"/>
      <c r="DO333" s="523"/>
      <c r="DP333" s="523"/>
      <c r="DQ333" s="523"/>
      <c r="DR333" s="523"/>
      <c r="DS333" s="523"/>
      <c r="DT333" s="523"/>
      <c r="DU333" s="523"/>
      <c r="DV333" s="523"/>
      <c r="DW333" s="523"/>
      <c r="DX333" s="523"/>
      <c r="DY333" s="523"/>
      <c r="DZ333" s="523"/>
      <c r="EA333" s="523"/>
      <c r="EB333" s="523"/>
      <c r="EC333" s="523"/>
      <c r="ED333" s="523"/>
      <c r="EE333" s="523"/>
      <c r="EF333" s="523"/>
      <c r="EG333" s="523"/>
      <c r="EH333" s="523"/>
      <c r="EI333" s="523"/>
      <c r="EJ333" s="523"/>
      <c r="EK333" s="523"/>
      <c r="EL333" s="523"/>
      <c r="EM333" s="523"/>
      <c r="EN333" s="523"/>
      <c r="EO333" s="523"/>
      <c r="EP333" s="523"/>
      <c r="EQ333" s="523"/>
      <c r="ER333" s="523"/>
      <c r="ES333" s="523"/>
      <c r="ET333" s="523"/>
      <c r="EU333" s="523"/>
      <c r="EV333" s="523"/>
      <c r="EW333" s="523"/>
      <c r="EX333" s="523"/>
      <c r="EY333" s="523"/>
      <c r="EZ333" s="523"/>
      <c r="FA333" s="523"/>
      <c r="FB333" s="523"/>
      <c r="FC333" s="523"/>
      <c r="FD333" s="523"/>
      <c r="FE333" s="523"/>
      <c r="FF333" s="523"/>
      <c r="FG333" s="523"/>
      <c r="FH333" s="523"/>
      <c r="FI333" s="523"/>
      <c r="FJ333" s="523"/>
      <c r="FK333" s="523"/>
      <c r="FL333" s="523"/>
      <c r="FM333" s="523"/>
    </row>
    <row r="334" spans="1:169" s="1586" customFormat="1" ht="13.2">
      <c r="A334" s="523"/>
      <c r="B334" s="1585"/>
      <c r="C334" s="523"/>
      <c r="D334" s="523"/>
      <c r="E334" s="523"/>
      <c r="F334" s="524"/>
      <c r="G334" s="523"/>
      <c r="H334" s="523"/>
      <c r="I334" s="523"/>
      <c r="J334" s="523"/>
      <c r="K334" s="523"/>
      <c r="L334" s="1585"/>
      <c r="M334" s="1585"/>
      <c r="N334" s="1585"/>
      <c r="O334" s="523"/>
      <c r="P334" s="607"/>
      <c r="Q334" s="1595"/>
      <c r="R334" s="1595"/>
      <c r="S334" s="1595"/>
      <c r="T334" s="607"/>
      <c r="U334" s="607"/>
      <c r="V334" s="607"/>
      <c r="W334" s="523"/>
      <c r="X334" s="523"/>
      <c r="Y334" s="523"/>
      <c r="Z334" s="523"/>
      <c r="AA334" s="523"/>
      <c r="AB334" s="523"/>
      <c r="AC334" s="523"/>
      <c r="AD334" s="523"/>
      <c r="AE334" s="523"/>
      <c r="AF334" s="523"/>
      <c r="AG334" s="523"/>
      <c r="AH334" s="523"/>
      <c r="AI334" s="523"/>
      <c r="AJ334" s="523"/>
      <c r="AK334" s="523"/>
      <c r="AL334" s="523"/>
      <c r="AM334" s="523"/>
      <c r="AN334" s="523"/>
      <c r="AO334" s="523"/>
      <c r="AP334" s="523"/>
      <c r="AQ334" s="523"/>
      <c r="AR334" s="523"/>
      <c r="AS334" s="523"/>
      <c r="AT334" s="523"/>
      <c r="AU334" s="523"/>
      <c r="AV334" s="523"/>
      <c r="AW334" s="523"/>
      <c r="AX334" s="523"/>
      <c r="AY334" s="523"/>
      <c r="AZ334" s="523"/>
      <c r="BA334" s="523"/>
      <c r="BB334" s="523"/>
      <c r="BC334" s="523"/>
      <c r="BD334" s="523"/>
      <c r="BE334" s="523"/>
      <c r="BF334" s="523"/>
      <c r="BG334" s="523"/>
      <c r="BH334" s="523"/>
      <c r="BI334" s="523"/>
      <c r="BJ334" s="523"/>
      <c r="BK334" s="523"/>
      <c r="BL334" s="523"/>
      <c r="BM334" s="523"/>
      <c r="BN334" s="523"/>
      <c r="BO334" s="523"/>
      <c r="BP334" s="523"/>
      <c r="BQ334" s="523"/>
      <c r="BR334" s="523"/>
      <c r="BS334" s="523"/>
      <c r="BT334" s="523"/>
      <c r="BU334" s="523"/>
      <c r="BV334" s="523"/>
      <c r="BW334" s="523"/>
      <c r="BX334" s="523"/>
      <c r="BY334" s="523"/>
      <c r="BZ334" s="523"/>
      <c r="CA334" s="523"/>
      <c r="CB334" s="523"/>
      <c r="CC334" s="523"/>
      <c r="CD334" s="523"/>
      <c r="CE334" s="523"/>
      <c r="CF334" s="523"/>
      <c r="CG334" s="523"/>
      <c r="CH334" s="523"/>
      <c r="CI334" s="523"/>
      <c r="CJ334" s="523"/>
      <c r="CK334" s="523"/>
      <c r="CL334" s="523"/>
      <c r="CM334" s="523"/>
      <c r="CN334" s="523"/>
      <c r="CO334" s="523"/>
      <c r="CP334" s="523"/>
      <c r="CQ334" s="523"/>
      <c r="CR334" s="523"/>
      <c r="CS334" s="523"/>
      <c r="CT334" s="523"/>
      <c r="CU334" s="523"/>
      <c r="CV334" s="523"/>
      <c r="CW334" s="523"/>
      <c r="CX334" s="523"/>
      <c r="CY334" s="523"/>
      <c r="CZ334" s="523"/>
      <c r="DA334" s="523"/>
      <c r="DB334" s="523"/>
      <c r="DC334" s="523"/>
      <c r="DD334" s="523"/>
      <c r="DE334" s="523"/>
      <c r="DF334" s="523"/>
      <c r="DG334" s="523"/>
      <c r="DH334" s="523"/>
      <c r="DI334" s="523"/>
      <c r="DJ334" s="523"/>
      <c r="DK334" s="523"/>
      <c r="DL334" s="523"/>
      <c r="DM334" s="523"/>
      <c r="DN334" s="523"/>
      <c r="DO334" s="523"/>
      <c r="DP334" s="523"/>
      <c r="DQ334" s="523"/>
      <c r="DR334" s="523"/>
      <c r="DS334" s="523"/>
      <c r="DT334" s="523"/>
      <c r="DU334" s="523"/>
      <c r="DV334" s="523"/>
      <c r="DW334" s="523"/>
      <c r="DX334" s="523"/>
      <c r="DY334" s="523"/>
      <c r="DZ334" s="523"/>
      <c r="EA334" s="523"/>
      <c r="EB334" s="523"/>
      <c r="EC334" s="523"/>
      <c r="ED334" s="523"/>
      <c r="EE334" s="523"/>
      <c r="EF334" s="523"/>
      <c r="EG334" s="523"/>
      <c r="EH334" s="523"/>
      <c r="EI334" s="523"/>
      <c r="EJ334" s="523"/>
      <c r="EK334" s="523"/>
      <c r="EL334" s="523"/>
      <c r="EM334" s="523"/>
      <c r="EN334" s="523"/>
      <c r="EO334" s="523"/>
      <c r="EP334" s="523"/>
      <c r="EQ334" s="523"/>
      <c r="ER334" s="523"/>
      <c r="ES334" s="523"/>
      <c r="ET334" s="523"/>
      <c r="EU334" s="523"/>
      <c r="EV334" s="523"/>
      <c r="EW334" s="523"/>
      <c r="EX334" s="523"/>
      <c r="EY334" s="523"/>
      <c r="EZ334" s="523"/>
      <c r="FA334" s="523"/>
      <c r="FB334" s="523"/>
      <c r="FC334" s="523"/>
      <c r="FD334" s="523"/>
      <c r="FE334" s="523"/>
      <c r="FF334" s="523"/>
      <c r="FG334" s="523"/>
      <c r="FH334" s="523"/>
      <c r="FI334" s="523"/>
      <c r="FJ334" s="523"/>
      <c r="FK334" s="523"/>
      <c r="FL334" s="523"/>
      <c r="FM334" s="523"/>
    </row>
    <row r="335" spans="1:169" s="1586" customFormat="1" ht="13.2">
      <c r="A335" s="523"/>
      <c r="B335" s="1585"/>
      <c r="C335" s="523"/>
      <c r="D335" s="523"/>
      <c r="E335" s="523"/>
      <c r="F335" s="524"/>
      <c r="G335" s="523"/>
      <c r="H335" s="523"/>
      <c r="I335" s="523"/>
      <c r="J335" s="523"/>
      <c r="K335" s="523"/>
      <c r="L335" s="1585"/>
      <c r="M335" s="1585"/>
      <c r="N335" s="1585"/>
      <c r="O335" s="523"/>
      <c r="P335" s="607"/>
      <c r="Q335" s="1595"/>
      <c r="R335" s="1595"/>
      <c r="S335" s="1595"/>
      <c r="T335" s="607"/>
      <c r="U335" s="607"/>
      <c r="V335" s="607"/>
      <c r="W335" s="523"/>
      <c r="X335" s="523"/>
      <c r="Y335" s="523"/>
      <c r="Z335" s="523"/>
      <c r="AA335" s="523"/>
      <c r="AB335" s="523"/>
      <c r="AC335" s="523"/>
      <c r="AD335" s="523"/>
      <c r="AE335" s="523"/>
      <c r="AF335" s="523"/>
      <c r="AG335" s="523"/>
      <c r="AH335" s="523"/>
      <c r="AI335" s="523"/>
      <c r="AJ335" s="523"/>
      <c r="AK335" s="523"/>
      <c r="AL335" s="523"/>
      <c r="AM335" s="523"/>
      <c r="AN335" s="523"/>
      <c r="AO335" s="523"/>
      <c r="AP335" s="523"/>
      <c r="AQ335" s="523"/>
      <c r="AR335" s="523"/>
      <c r="AS335" s="523"/>
      <c r="AT335" s="523"/>
      <c r="AU335" s="523"/>
      <c r="AV335" s="523"/>
      <c r="AW335" s="523"/>
      <c r="AX335" s="523"/>
      <c r="AY335" s="523"/>
      <c r="AZ335" s="523"/>
      <c r="BA335" s="523"/>
      <c r="BB335" s="523"/>
      <c r="BC335" s="523"/>
      <c r="BD335" s="523"/>
      <c r="BE335" s="523"/>
      <c r="BF335" s="523"/>
      <c r="BG335" s="523"/>
      <c r="BH335" s="523"/>
      <c r="BI335" s="523"/>
      <c r="BJ335" s="523"/>
      <c r="BK335" s="523"/>
      <c r="BL335" s="523"/>
      <c r="BM335" s="523"/>
      <c r="BN335" s="523"/>
      <c r="BO335" s="523"/>
      <c r="BP335" s="523"/>
      <c r="BQ335" s="523"/>
      <c r="BR335" s="523"/>
      <c r="BS335" s="523"/>
      <c r="BT335" s="523"/>
      <c r="BU335" s="523"/>
      <c r="BV335" s="523"/>
      <c r="BW335" s="523"/>
      <c r="BX335" s="523"/>
      <c r="BY335" s="523"/>
      <c r="BZ335" s="523"/>
      <c r="CA335" s="523"/>
      <c r="CB335" s="523"/>
      <c r="CC335" s="523"/>
      <c r="CD335" s="523"/>
      <c r="CE335" s="523"/>
      <c r="CF335" s="523"/>
      <c r="CG335" s="523"/>
      <c r="CH335" s="523"/>
      <c r="CI335" s="523"/>
      <c r="CJ335" s="523"/>
      <c r="CK335" s="523"/>
      <c r="CL335" s="523"/>
      <c r="CM335" s="523"/>
      <c r="CN335" s="523"/>
      <c r="CO335" s="523"/>
      <c r="CP335" s="523"/>
      <c r="CQ335" s="523"/>
      <c r="CR335" s="523"/>
      <c r="CS335" s="523"/>
      <c r="CT335" s="523"/>
      <c r="CU335" s="523"/>
      <c r="CV335" s="523"/>
      <c r="CW335" s="523"/>
      <c r="CX335" s="523"/>
      <c r="CY335" s="523"/>
      <c r="CZ335" s="523"/>
      <c r="DA335" s="523"/>
      <c r="DB335" s="523"/>
      <c r="DC335" s="523"/>
      <c r="DD335" s="523"/>
      <c r="DE335" s="523"/>
      <c r="DF335" s="523"/>
      <c r="DG335" s="523"/>
      <c r="DH335" s="523"/>
      <c r="DI335" s="523"/>
      <c r="DJ335" s="523"/>
      <c r="DK335" s="523"/>
      <c r="DL335" s="523"/>
      <c r="DM335" s="523"/>
      <c r="DN335" s="523"/>
      <c r="DO335" s="523"/>
      <c r="DP335" s="523"/>
      <c r="DQ335" s="523"/>
      <c r="DR335" s="523"/>
      <c r="DS335" s="523"/>
      <c r="DT335" s="523"/>
      <c r="DU335" s="523"/>
      <c r="DV335" s="523"/>
      <c r="DW335" s="523"/>
      <c r="DX335" s="523"/>
      <c r="DY335" s="523"/>
      <c r="DZ335" s="523"/>
      <c r="EA335" s="523"/>
      <c r="EB335" s="523"/>
      <c r="EC335" s="523"/>
      <c r="ED335" s="523"/>
      <c r="EE335" s="523"/>
      <c r="EF335" s="523"/>
      <c r="EG335" s="523"/>
      <c r="EH335" s="523"/>
      <c r="EI335" s="523"/>
      <c r="EJ335" s="523"/>
      <c r="EK335" s="523"/>
      <c r="EL335" s="523"/>
      <c r="EM335" s="523"/>
      <c r="EN335" s="523"/>
      <c r="EO335" s="523"/>
      <c r="EP335" s="523"/>
      <c r="EQ335" s="523"/>
      <c r="ER335" s="523"/>
      <c r="ES335" s="523"/>
      <c r="ET335" s="523"/>
      <c r="EU335" s="523"/>
      <c r="EV335" s="523"/>
      <c r="EW335" s="523"/>
      <c r="EX335" s="523"/>
      <c r="EY335" s="523"/>
      <c r="EZ335" s="523"/>
      <c r="FA335" s="523"/>
      <c r="FB335" s="523"/>
      <c r="FC335" s="523"/>
      <c r="FD335" s="523"/>
      <c r="FE335" s="523"/>
      <c r="FF335" s="523"/>
      <c r="FG335" s="523"/>
      <c r="FH335" s="523"/>
      <c r="FI335" s="523"/>
      <c r="FJ335" s="523"/>
      <c r="FK335" s="523"/>
      <c r="FL335" s="523"/>
      <c r="FM335" s="523"/>
    </row>
    <row r="336" spans="1:169" s="1586" customFormat="1" ht="13.2">
      <c r="A336" s="523"/>
      <c r="B336" s="1585"/>
      <c r="C336" s="523"/>
      <c r="D336" s="523"/>
      <c r="E336" s="523"/>
      <c r="F336" s="524"/>
      <c r="G336" s="523"/>
      <c r="H336" s="523"/>
      <c r="I336" s="523"/>
      <c r="J336" s="523"/>
      <c r="K336" s="523"/>
      <c r="L336" s="1585"/>
      <c r="M336" s="1585"/>
      <c r="N336" s="1585"/>
      <c r="O336" s="523"/>
      <c r="P336" s="607"/>
      <c r="Q336" s="1595"/>
      <c r="R336" s="1595"/>
      <c r="S336" s="1595"/>
      <c r="T336" s="607"/>
      <c r="U336" s="607"/>
      <c r="V336" s="607"/>
      <c r="W336" s="523"/>
      <c r="X336" s="523"/>
      <c r="Y336" s="523"/>
      <c r="Z336" s="523"/>
      <c r="AA336" s="523"/>
      <c r="AB336" s="523"/>
      <c r="AC336" s="523"/>
      <c r="AD336" s="523"/>
      <c r="AE336" s="523"/>
      <c r="AF336" s="523"/>
      <c r="AG336" s="523"/>
      <c r="AH336" s="523"/>
      <c r="AI336" s="523"/>
      <c r="AJ336" s="523"/>
      <c r="AK336" s="523"/>
      <c r="AL336" s="523"/>
      <c r="AM336" s="523"/>
      <c r="AN336" s="523"/>
      <c r="AO336" s="523"/>
      <c r="AP336" s="523"/>
      <c r="AQ336" s="523"/>
      <c r="AR336" s="523"/>
      <c r="AS336" s="523"/>
      <c r="AT336" s="523"/>
      <c r="AU336" s="523"/>
      <c r="AV336" s="523"/>
      <c r="AW336" s="523"/>
      <c r="AX336" s="523"/>
      <c r="AY336" s="523"/>
      <c r="AZ336" s="523"/>
      <c r="BA336" s="523"/>
      <c r="BB336" s="523"/>
      <c r="BC336" s="523"/>
      <c r="BD336" s="523"/>
      <c r="BE336" s="523"/>
      <c r="BF336" s="523"/>
      <c r="BG336" s="523"/>
      <c r="BH336" s="523"/>
      <c r="BI336" s="523"/>
      <c r="BJ336" s="523"/>
      <c r="BK336" s="523"/>
      <c r="BL336" s="523"/>
      <c r="BM336" s="523"/>
      <c r="BN336" s="523"/>
      <c r="BO336" s="523"/>
      <c r="BP336" s="523"/>
      <c r="BQ336" s="523"/>
      <c r="BR336" s="523"/>
      <c r="BS336" s="523"/>
      <c r="BT336" s="523"/>
      <c r="BU336" s="523"/>
      <c r="BV336" s="523"/>
      <c r="BW336" s="523"/>
      <c r="BX336" s="523"/>
      <c r="BY336" s="523"/>
      <c r="BZ336" s="523"/>
      <c r="CA336" s="523"/>
      <c r="CB336" s="523"/>
      <c r="CC336" s="523"/>
      <c r="CD336" s="523"/>
      <c r="CE336" s="523"/>
      <c r="CF336" s="523"/>
      <c r="CG336" s="523"/>
      <c r="CH336" s="523"/>
      <c r="CI336" s="523"/>
      <c r="CJ336" s="523"/>
      <c r="CK336" s="523"/>
      <c r="CL336" s="523"/>
      <c r="CM336" s="523"/>
      <c r="CN336" s="523"/>
      <c r="CO336" s="523"/>
      <c r="CP336" s="523"/>
      <c r="CQ336" s="523"/>
      <c r="CR336" s="523"/>
      <c r="CS336" s="523"/>
      <c r="CT336" s="523"/>
      <c r="CU336" s="523"/>
      <c r="CV336" s="523"/>
      <c r="CW336" s="523"/>
      <c r="CX336" s="523"/>
      <c r="CY336" s="523"/>
      <c r="CZ336" s="523"/>
      <c r="DA336" s="523"/>
      <c r="DB336" s="523"/>
      <c r="DC336" s="523"/>
      <c r="DD336" s="523"/>
      <c r="DE336" s="523"/>
      <c r="DF336" s="523"/>
      <c r="DG336" s="523"/>
      <c r="DH336" s="523"/>
      <c r="DI336" s="523"/>
      <c r="DJ336" s="523"/>
      <c r="DK336" s="523"/>
      <c r="DL336" s="523"/>
      <c r="DM336" s="523"/>
      <c r="DN336" s="523"/>
      <c r="DO336" s="523"/>
      <c r="DP336" s="523"/>
      <c r="DQ336" s="523"/>
      <c r="DR336" s="523"/>
      <c r="DS336" s="523"/>
      <c r="DT336" s="523"/>
      <c r="DU336" s="523"/>
      <c r="DV336" s="523"/>
      <c r="DW336" s="523"/>
      <c r="DX336" s="523"/>
      <c r="DY336" s="523"/>
      <c r="DZ336" s="523"/>
      <c r="EA336" s="523"/>
      <c r="EB336" s="523"/>
      <c r="EC336" s="523"/>
      <c r="ED336" s="523"/>
      <c r="EE336" s="523"/>
      <c r="EF336" s="523"/>
      <c r="EG336" s="523"/>
      <c r="EH336" s="523"/>
      <c r="EI336" s="523"/>
      <c r="EJ336" s="523"/>
      <c r="EK336" s="523"/>
      <c r="EL336" s="523"/>
      <c r="EM336" s="523"/>
      <c r="EN336" s="523"/>
      <c r="EO336" s="523"/>
      <c r="EP336" s="523"/>
      <c r="EQ336" s="523"/>
      <c r="ER336" s="523"/>
      <c r="ES336" s="523"/>
      <c r="ET336" s="523"/>
      <c r="EU336" s="523"/>
      <c r="EV336" s="523"/>
      <c r="EW336" s="523"/>
      <c r="EX336" s="523"/>
      <c r="EY336" s="523"/>
      <c r="EZ336" s="523"/>
      <c r="FA336" s="523"/>
      <c r="FB336" s="523"/>
      <c r="FC336" s="523"/>
      <c r="FD336" s="523"/>
      <c r="FE336" s="523"/>
      <c r="FF336" s="523"/>
      <c r="FG336" s="523"/>
      <c r="FH336" s="523"/>
      <c r="FI336" s="523"/>
      <c r="FJ336" s="523"/>
      <c r="FK336" s="523"/>
      <c r="FL336" s="523"/>
      <c r="FM336" s="523"/>
    </row>
    <row r="337" spans="1:169" s="1586" customFormat="1" ht="13.2">
      <c r="A337" s="523"/>
      <c r="B337" s="1585"/>
      <c r="C337" s="523"/>
      <c r="D337" s="523"/>
      <c r="E337" s="523"/>
      <c r="F337" s="524"/>
      <c r="G337" s="523"/>
      <c r="H337" s="523"/>
      <c r="I337" s="523"/>
      <c r="J337" s="523"/>
      <c r="K337" s="523"/>
      <c r="L337" s="1585"/>
      <c r="M337" s="1585"/>
      <c r="N337" s="1585"/>
      <c r="O337" s="523"/>
      <c r="P337" s="607"/>
      <c r="Q337" s="1595"/>
      <c r="R337" s="1595"/>
      <c r="S337" s="1595"/>
      <c r="T337" s="607"/>
      <c r="U337" s="607"/>
      <c r="V337" s="607"/>
      <c r="W337" s="523"/>
      <c r="X337" s="523"/>
      <c r="Y337" s="523"/>
      <c r="Z337" s="523"/>
      <c r="AA337" s="523"/>
      <c r="AB337" s="523"/>
      <c r="AC337" s="523"/>
      <c r="AD337" s="523"/>
      <c r="AE337" s="523"/>
      <c r="AF337" s="523"/>
      <c r="AG337" s="523"/>
      <c r="AH337" s="523"/>
      <c r="AI337" s="523"/>
      <c r="AJ337" s="523"/>
      <c r="AK337" s="523"/>
      <c r="AL337" s="523"/>
      <c r="AM337" s="523"/>
      <c r="AN337" s="523"/>
      <c r="AO337" s="523"/>
      <c r="AP337" s="523"/>
      <c r="AQ337" s="523"/>
      <c r="AR337" s="523"/>
      <c r="AS337" s="523"/>
      <c r="AT337" s="523"/>
      <c r="AU337" s="523"/>
      <c r="AV337" s="523"/>
      <c r="AW337" s="523"/>
      <c r="AX337" s="523"/>
      <c r="AY337" s="523"/>
      <c r="AZ337" s="523"/>
      <c r="BA337" s="523"/>
      <c r="BB337" s="523"/>
      <c r="BC337" s="523"/>
      <c r="BD337" s="523"/>
      <c r="BE337" s="523"/>
      <c r="BF337" s="523"/>
      <c r="BG337" s="523"/>
      <c r="BH337" s="523"/>
      <c r="BI337" s="523"/>
      <c r="BJ337" s="523"/>
      <c r="BK337" s="523"/>
      <c r="BL337" s="523"/>
      <c r="BM337" s="523"/>
      <c r="BN337" s="523"/>
      <c r="BO337" s="523"/>
      <c r="BP337" s="523"/>
      <c r="BQ337" s="523"/>
      <c r="BR337" s="523"/>
      <c r="BS337" s="523"/>
      <c r="BT337" s="523"/>
      <c r="BU337" s="523"/>
      <c r="BV337" s="523"/>
      <c r="BW337" s="523"/>
      <c r="BX337" s="523"/>
      <c r="BY337" s="523"/>
      <c r="BZ337" s="523"/>
      <c r="CA337" s="523"/>
      <c r="CB337" s="523"/>
      <c r="CC337" s="523"/>
      <c r="CD337" s="523"/>
      <c r="CE337" s="523"/>
      <c r="CF337" s="523"/>
      <c r="CG337" s="523"/>
      <c r="CH337" s="523"/>
      <c r="CI337" s="523"/>
      <c r="CJ337" s="523"/>
      <c r="CK337" s="523"/>
      <c r="CL337" s="523"/>
      <c r="CM337" s="523"/>
      <c r="CN337" s="523"/>
      <c r="CO337" s="523"/>
      <c r="CP337" s="523"/>
      <c r="CQ337" s="523"/>
      <c r="CR337" s="523"/>
      <c r="CS337" s="523"/>
      <c r="CT337" s="523"/>
      <c r="CU337" s="523"/>
      <c r="CV337" s="523"/>
      <c r="CW337" s="523"/>
      <c r="CX337" s="523"/>
      <c r="CY337" s="523"/>
      <c r="CZ337" s="523"/>
      <c r="DA337" s="523"/>
      <c r="DB337" s="523"/>
      <c r="DC337" s="523"/>
      <c r="DD337" s="523"/>
      <c r="DE337" s="523"/>
      <c r="DF337" s="523"/>
      <c r="DG337" s="523"/>
      <c r="DH337" s="523"/>
      <c r="DI337" s="523"/>
      <c r="DJ337" s="523"/>
      <c r="DK337" s="523"/>
      <c r="DL337" s="523"/>
      <c r="DM337" s="523"/>
      <c r="DN337" s="523"/>
      <c r="DO337" s="523"/>
      <c r="DP337" s="523"/>
      <c r="DQ337" s="523"/>
      <c r="DR337" s="523"/>
      <c r="DS337" s="523"/>
      <c r="DT337" s="523"/>
      <c r="DU337" s="523"/>
      <c r="DV337" s="523"/>
      <c r="DW337" s="523"/>
      <c r="DX337" s="523"/>
      <c r="DY337" s="523"/>
      <c r="DZ337" s="523"/>
      <c r="EA337" s="523"/>
      <c r="EB337" s="523"/>
      <c r="EC337" s="523"/>
      <c r="ED337" s="523"/>
      <c r="EE337" s="523"/>
      <c r="EF337" s="523"/>
      <c r="EG337" s="523"/>
      <c r="EH337" s="523"/>
      <c r="EI337" s="523"/>
      <c r="EJ337" s="523"/>
      <c r="EK337" s="523"/>
      <c r="EL337" s="523"/>
      <c r="EM337" s="523"/>
      <c r="EN337" s="523"/>
      <c r="EO337" s="523"/>
      <c r="EP337" s="523"/>
      <c r="EQ337" s="523"/>
      <c r="ER337" s="523"/>
      <c r="ES337" s="523"/>
      <c r="ET337" s="523"/>
      <c r="EU337" s="523"/>
      <c r="EV337" s="523"/>
      <c r="EW337" s="523"/>
      <c r="EX337" s="523"/>
      <c r="EY337" s="523"/>
      <c r="EZ337" s="523"/>
      <c r="FA337" s="523"/>
      <c r="FB337" s="523"/>
      <c r="FC337" s="523"/>
      <c r="FD337" s="523"/>
      <c r="FE337" s="523"/>
      <c r="FF337" s="523"/>
      <c r="FG337" s="523"/>
      <c r="FH337" s="523"/>
      <c r="FI337" s="523"/>
      <c r="FJ337" s="523"/>
      <c r="FK337" s="523"/>
      <c r="FL337" s="523"/>
      <c r="FM337" s="523"/>
    </row>
    <row r="338" spans="1:169" s="1586" customFormat="1" ht="13.2">
      <c r="A338" s="523"/>
      <c r="B338" s="1585"/>
      <c r="C338" s="523"/>
      <c r="D338" s="523"/>
      <c r="E338" s="523"/>
      <c r="F338" s="524"/>
      <c r="G338" s="523"/>
      <c r="H338" s="523"/>
      <c r="I338" s="523"/>
      <c r="J338" s="523"/>
      <c r="K338" s="523"/>
      <c r="L338" s="1585"/>
      <c r="M338" s="1585"/>
      <c r="N338" s="1585"/>
      <c r="O338" s="523"/>
      <c r="P338" s="607"/>
      <c r="Q338" s="1595"/>
      <c r="R338" s="1595"/>
      <c r="S338" s="1595"/>
      <c r="T338" s="607"/>
      <c r="U338" s="607"/>
      <c r="V338" s="607"/>
      <c r="W338" s="523"/>
      <c r="X338" s="523"/>
      <c r="Y338" s="523"/>
      <c r="Z338" s="523"/>
      <c r="AA338" s="523"/>
      <c r="AB338" s="523"/>
      <c r="AC338" s="523"/>
      <c r="AD338" s="523"/>
      <c r="AE338" s="523"/>
      <c r="AF338" s="523"/>
      <c r="AG338" s="523"/>
      <c r="AH338" s="523"/>
      <c r="AI338" s="523"/>
      <c r="AJ338" s="523"/>
      <c r="AK338" s="523"/>
      <c r="AL338" s="523"/>
      <c r="AM338" s="523"/>
      <c r="AN338" s="523"/>
      <c r="AO338" s="523"/>
      <c r="AP338" s="523"/>
      <c r="AQ338" s="523"/>
      <c r="AR338" s="523"/>
      <c r="AS338" s="523"/>
      <c r="AT338" s="523"/>
      <c r="AU338" s="523"/>
      <c r="AV338" s="523"/>
      <c r="AW338" s="523"/>
      <c r="AX338" s="523"/>
      <c r="AY338" s="523"/>
      <c r="AZ338" s="523"/>
      <c r="BA338" s="523"/>
      <c r="BB338" s="523"/>
      <c r="BC338" s="523"/>
      <c r="BD338" s="523"/>
      <c r="BE338" s="523"/>
      <c r="BF338" s="523"/>
      <c r="BG338" s="523"/>
      <c r="BH338" s="523"/>
      <c r="BI338" s="523"/>
      <c r="BJ338" s="523"/>
      <c r="BK338" s="523"/>
      <c r="BL338" s="523"/>
      <c r="BM338" s="523"/>
      <c r="BN338" s="523"/>
      <c r="BO338" s="523"/>
      <c r="BP338" s="523"/>
      <c r="BQ338" s="523"/>
      <c r="BR338" s="523"/>
      <c r="BS338" s="523"/>
      <c r="BT338" s="523"/>
      <c r="BU338" s="523"/>
      <c r="BV338" s="523"/>
      <c r="BW338" s="523"/>
      <c r="BX338" s="523"/>
      <c r="BY338" s="523"/>
      <c r="BZ338" s="523"/>
      <c r="CA338" s="523"/>
      <c r="CB338" s="523"/>
      <c r="CC338" s="523"/>
      <c r="CD338" s="523"/>
      <c r="CE338" s="523"/>
      <c r="CF338" s="523"/>
      <c r="CG338" s="523"/>
      <c r="CH338" s="523"/>
      <c r="CI338" s="523"/>
      <c r="CJ338" s="523"/>
      <c r="CK338" s="523"/>
      <c r="CL338" s="523"/>
      <c r="CM338" s="523"/>
      <c r="CN338" s="523"/>
      <c r="CO338" s="523"/>
      <c r="CP338" s="523"/>
      <c r="CQ338" s="523"/>
      <c r="CR338" s="523"/>
      <c r="CS338" s="523"/>
      <c r="CT338" s="523"/>
      <c r="CU338" s="523"/>
      <c r="CV338" s="523"/>
      <c r="CW338" s="523"/>
      <c r="CX338" s="523"/>
      <c r="CY338" s="523"/>
      <c r="CZ338" s="523"/>
      <c r="DA338" s="523"/>
      <c r="DB338" s="523"/>
      <c r="DC338" s="523"/>
      <c r="DD338" s="523"/>
      <c r="DE338" s="523"/>
      <c r="DF338" s="523"/>
      <c r="DG338" s="523"/>
      <c r="DH338" s="523"/>
      <c r="DI338" s="523"/>
      <c r="DJ338" s="523"/>
      <c r="DK338" s="523"/>
      <c r="DL338" s="523"/>
      <c r="DM338" s="523"/>
      <c r="DN338" s="523"/>
      <c r="DO338" s="523"/>
      <c r="DP338" s="523"/>
      <c r="DQ338" s="523"/>
      <c r="DR338" s="523"/>
      <c r="DS338" s="523"/>
      <c r="DT338" s="523"/>
      <c r="DU338" s="523"/>
      <c r="DV338" s="523"/>
      <c r="DW338" s="523"/>
      <c r="DX338" s="523"/>
      <c r="DY338" s="523"/>
      <c r="DZ338" s="523"/>
      <c r="EA338" s="523"/>
      <c r="EB338" s="523"/>
      <c r="EC338" s="523"/>
      <c r="ED338" s="523"/>
      <c r="EE338" s="523"/>
      <c r="EF338" s="523"/>
      <c r="EG338" s="523"/>
      <c r="EH338" s="523"/>
      <c r="EI338" s="523"/>
      <c r="EJ338" s="523"/>
      <c r="EK338" s="523"/>
      <c r="EL338" s="523"/>
      <c r="EM338" s="523"/>
      <c r="EN338" s="523"/>
      <c r="EO338" s="523"/>
      <c r="EP338" s="523"/>
      <c r="EQ338" s="523"/>
      <c r="ER338" s="523"/>
      <c r="ES338" s="523"/>
      <c r="ET338" s="523"/>
      <c r="EU338" s="523"/>
      <c r="EV338" s="523"/>
      <c r="EW338" s="523"/>
      <c r="EX338" s="523"/>
      <c r="EY338" s="523"/>
      <c r="EZ338" s="523"/>
      <c r="FA338" s="523"/>
      <c r="FB338" s="523"/>
      <c r="FC338" s="523"/>
      <c r="FD338" s="523"/>
      <c r="FE338" s="523"/>
      <c r="FF338" s="523"/>
      <c r="FG338" s="523"/>
      <c r="FH338" s="523"/>
      <c r="FI338" s="523"/>
      <c r="FJ338" s="523"/>
      <c r="FK338" s="523"/>
      <c r="FL338" s="523"/>
      <c r="FM338" s="523"/>
    </row>
    <row r="339" spans="1:169" s="1586" customFormat="1" ht="13.2">
      <c r="A339" s="523"/>
      <c r="B339" s="1585"/>
      <c r="C339" s="523"/>
      <c r="D339" s="523"/>
      <c r="E339" s="523"/>
      <c r="F339" s="524"/>
      <c r="G339" s="523"/>
      <c r="H339" s="523"/>
      <c r="I339" s="523"/>
      <c r="J339" s="523"/>
      <c r="K339" s="523"/>
      <c r="L339" s="1585"/>
      <c r="M339" s="1585"/>
      <c r="N339" s="1585"/>
      <c r="O339" s="523"/>
      <c r="P339" s="607"/>
      <c r="Q339" s="1595"/>
      <c r="R339" s="1595"/>
      <c r="S339" s="1595"/>
      <c r="T339" s="607"/>
      <c r="U339" s="607"/>
      <c r="V339" s="607"/>
      <c r="W339" s="523"/>
      <c r="X339" s="523"/>
      <c r="Y339" s="523"/>
      <c r="Z339" s="523"/>
      <c r="AA339" s="523"/>
      <c r="AB339" s="523"/>
      <c r="AC339" s="523"/>
      <c r="AD339" s="523"/>
      <c r="AE339" s="523"/>
      <c r="AF339" s="523"/>
      <c r="AG339" s="523"/>
      <c r="AH339" s="523"/>
      <c r="AI339" s="523"/>
      <c r="AJ339" s="523"/>
      <c r="AK339" s="523"/>
      <c r="AL339" s="523"/>
      <c r="AM339" s="523"/>
      <c r="AN339" s="523"/>
      <c r="AO339" s="523"/>
      <c r="AP339" s="523"/>
      <c r="AQ339" s="523"/>
      <c r="AR339" s="523"/>
      <c r="AS339" s="523"/>
      <c r="AT339" s="523"/>
      <c r="AU339" s="523"/>
      <c r="AV339" s="523"/>
      <c r="AW339" s="523"/>
      <c r="AX339" s="523"/>
      <c r="AY339" s="523"/>
      <c r="AZ339" s="523"/>
      <c r="BA339" s="523"/>
      <c r="BB339" s="523"/>
      <c r="BC339" s="523"/>
      <c r="BD339" s="523"/>
      <c r="BE339" s="523"/>
      <c r="BF339" s="523"/>
      <c r="BG339" s="523"/>
      <c r="BH339" s="523"/>
      <c r="BI339" s="523"/>
      <c r="BJ339" s="523"/>
      <c r="BK339" s="523"/>
      <c r="BL339" s="523"/>
      <c r="BM339" s="523"/>
      <c r="BN339" s="523"/>
      <c r="BO339" s="523"/>
      <c r="BP339" s="523"/>
      <c r="BQ339" s="523"/>
      <c r="BR339" s="523"/>
      <c r="BS339" s="523"/>
      <c r="BT339" s="523"/>
      <c r="BU339" s="523"/>
      <c r="BV339" s="523"/>
      <c r="BW339" s="523"/>
      <c r="BX339" s="523"/>
      <c r="BY339" s="523"/>
      <c r="BZ339" s="523"/>
      <c r="CA339" s="523"/>
      <c r="CB339" s="523"/>
      <c r="CC339" s="523"/>
      <c r="CD339" s="523"/>
      <c r="CE339" s="523"/>
      <c r="CF339" s="523"/>
      <c r="CG339" s="523"/>
      <c r="CH339" s="523"/>
      <c r="CI339" s="523"/>
      <c r="CJ339" s="523"/>
      <c r="CK339" s="523"/>
      <c r="CL339" s="523"/>
      <c r="CM339" s="523"/>
      <c r="CN339" s="523"/>
      <c r="CO339" s="523"/>
      <c r="CP339" s="523"/>
      <c r="CQ339" s="523"/>
      <c r="CR339" s="523"/>
      <c r="CS339" s="523"/>
      <c r="CT339" s="523"/>
      <c r="CU339" s="523"/>
      <c r="CV339" s="523"/>
      <c r="CW339" s="523"/>
      <c r="CX339" s="523"/>
      <c r="CY339" s="523"/>
      <c r="CZ339" s="523"/>
      <c r="DA339" s="523"/>
      <c r="DB339" s="523"/>
      <c r="DC339" s="523"/>
      <c r="DD339" s="523"/>
      <c r="DE339" s="523"/>
      <c r="DF339" s="523"/>
      <c r="DG339" s="523"/>
      <c r="DH339" s="523"/>
      <c r="DI339" s="523"/>
      <c r="DJ339" s="523"/>
      <c r="DK339" s="523"/>
      <c r="DL339" s="523"/>
      <c r="DM339" s="523"/>
      <c r="DN339" s="523"/>
      <c r="DO339" s="523"/>
      <c r="DP339" s="523"/>
      <c r="DQ339" s="523"/>
      <c r="DR339" s="523"/>
      <c r="DS339" s="523"/>
      <c r="DT339" s="523"/>
      <c r="DU339" s="523"/>
      <c r="DV339" s="523"/>
      <c r="DW339" s="523"/>
      <c r="DX339" s="523"/>
      <c r="DY339" s="523"/>
      <c r="DZ339" s="523"/>
      <c r="EA339" s="523"/>
      <c r="EB339" s="523"/>
      <c r="EC339" s="523"/>
      <c r="ED339" s="523"/>
      <c r="EE339" s="523"/>
      <c r="EF339" s="523"/>
      <c r="EG339" s="523"/>
      <c r="EH339" s="523"/>
      <c r="EI339" s="523"/>
      <c r="EJ339" s="523"/>
      <c r="EK339" s="523"/>
      <c r="EL339" s="523"/>
      <c r="EM339" s="523"/>
      <c r="EN339" s="523"/>
      <c r="EO339" s="523"/>
      <c r="EP339" s="523"/>
      <c r="EQ339" s="523"/>
      <c r="ER339" s="523"/>
      <c r="ES339" s="523"/>
      <c r="ET339" s="523"/>
      <c r="EU339" s="523"/>
      <c r="EV339" s="523"/>
      <c r="EW339" s="523"/>
      <c r="EX339" s="523"/>
      <c r="EY339" s="523"/>
      <c r="EZ339" s="523"/>
      <c r="FA339" s="523"/>
      <c r="FB339" s="523"/>
      <c r="FC339" s="523"/>
      <c r="FD339" s="523"/>
      <c r="FE339" s="523"/>
      <c r="FF339" s="523"/>
      <c r="FG339" s="523"/>
      <c r="FH339" s="523"/>
      <c r="FI339" s="523"/>
      <c r="FJ339" s="523"/>
      <c r="FK339" s="523"/>
      <c r="FL339" s="523"/>
      <c r="FM339" s="523"/>
    </row>
    <row r="340" spans="1:169" s="1586" customFormat="1" ht="13.2">
      <c r="A340" s="523"/>
      <c r="B340" s="1585"/>
      <c r="C340" s="523"/>
      <c r="D340" s="523"/>
      <c r="E340" s="523"/>
      <c r="F340" s="524"/>
      <c r="G340" s="523"/>
      <c r="H340" s="523"/>
      <c r="I340" s="523"/>
      <c r="J340" s="523"/>
      <c r="K340" s="523"/>
      <c r="L340" s="1585"/>
      <c r="M340" s="1585"/>
      <c r="N340" s="1585"/>
      <c r="O340" s="523"/>
      <c r="P340" s="607"/>
      <c r="Q340" s="1595"/>
      <c r="R340" s="1595"/>
      <c r="S340" s="1595"/>
      <c r="T340" s="607"/>
      <c r="U340" s="607"/>
      <c r="V340" s="607"/>
      <c r="W340" s="523"/>
      <c r="X340" s="523"/>
      <c r="Y340" s="523"/>
      <c r="Z340" s="523"/>
      <c r="AA340" s="523"/>
      <c r="AB340" s="523"/>
      <c r="AC340" s="523"/>
      <c r="AD340" s="523"/>
      <c r="AE340" s="523"/>
      <c r="AF340" s="523"/>
      <c r="AG340" s="523"/>
      <c r="AH340" s="523"/>
      <c r="AI340" s="523"/>
      <c r="AJ340" s="523"/>
      <c r="AK340" s="523"/>
      <c r="AL340" s="523"/>
      <c r="AM340" s="523"/>
      <c r="AN340" s="523"/>
      <c r="AO340" s="523"/>
      <c r="AP340" s="523"/>
      <c r="AQ340" s="523"/>
      <c r="AR340" s="523"/>
      <c r="AS340" s="523"/>
      <c r="AT340" s="523"/>
      <c r="AU340" s="523"/>
      <c r="AV340" s="523"/>
      <c r="AW340" s="523"/>
      <c r="AX340" s="523"/>
      <c r="AY340" s="523"/>
      <c r="AZ340" s="523"/>
      <c r="BA340" s="523"/>
      <c r="BB340" s="523"/>
      <c r="BC340" s="523"/>
      <c r="BD340" s="523"/>
      <c r="BE340" s="523"/>
      <c r="BF340" s="523"/>
      <c r="BG340" s="523"/>
      <c r="BH340" s="523"/>
      <c r="BI340" s="523"/>
      <c r="BJ340" s="523"/>
      <c r="BK340" s="523"/>
      <c r="BL340" s="523"/>
      <c r="BM340" s="523"/>
      <c r="BN340" s="523"/>
      <c r="BO340" s="523"/>
      <c r="BP340" s="523"/>
      <c r="BQ340" s="523"/>
      <c r="BR340" s="523"/>
      <c r="BS340" s="523"/>
      <c r="BT340" s="523"/>
      <c r="BU340" s="523"/>
      <c r="BV340" s="523"/>
      <c r="BW340" s="523"/>
      <c r="BX340" s="523"/>
      <c r="BY340" s="523"/>
      <c r="BZ340" s="523"/>
      <c r="CA340" s="523"/>
      <c r="CB340" s="523"/>
      <c r="CC340" s="523"/>
      <c r="CD340" s="523"/>
      <c r="CE340" s="523"/>
      <c r="CF340" s="523"/>
      <c r="CG340" s="523"/>
      <c r="CH340" s="523"/>
      <c r="CI340" s="523"/>
      <c r="CJ340" s="523"/>
      <c r="CK340" s="523"/>
      <c r="CL340" s="523"/>
      <c r="CM340" s="523"/>
      <c r="CN340" s="523"/>
      <c r="CO340" s="523"/>
      <c r="CP340" s="523"/>
      <c r="CQ340" s="523"/>
      <c r="CR340" s="523"/>
      <c r="CS340" s="523"/>
      <c r="CT340" s="523"/>
      <c r="CU340" s="523"/>
      <c r="CV340" s="523"/>
      <c r="CW340" s="523"/>
      <c r="CX340" s="523"/>
      <c r="CY340" s="523"/>
      <c r="CZ340" s="523"/>
      <c r="DA340" s="523"/>
      <c r="DB340" s="523"/>
      <c r="DC340" s="523"/>
      <c r="DD340" s="523"/>
      <c r="DE340" s="523"/>
      <c r="DF340" s="523"/>
      <c r="DG340" s="523"/>
      <c r="DH340" s="523"/>
      <c r="DI340" s="523"/>
      <c r="DJ340" s="523"/>
      <c r="DK340" s="523"/>
      <c r="DL340" s="523"/>
      <c r="DM340" s="523"/>
      <c r="DN340" s="523"/>
      <c r="DO340" s="523"/>
      <c r="DP340" s="523"/>
      <c r="DQ340" s="523"/>
      <c r="DR340" s="523"/>
      <c r="DS340" s="523"/>
      <c r="DT340" s="523"/>
      <c r="DU340" s="523"/>
      <c r="DV340" s="523"/>
      <c r="DW340" s="523"/>
      <c r="DX340" s="523"/>
      <c r="DY340" s="523"/>
      <c r="DZ340" s="523"/>
      <c r="EA340" s="523"/>
      <c r="EB340" s="523"/>
      <c r="EC340" s="523"/>
      <c r="ED340" s="523"/>
      <c r="EE340" s="523"/>
      <c r="EF340" s="523"/>
      <c r="EG340" s="523"/>
      <c r="EH340" s="523"/>
      <c r="EI340" s="523"/>
      <c r="EJ340" s="523"/>
      <c r="EK340" s="523"/>
      <c r="EL340" s="523"/>
      <c r="EM340" s="523"/>
      <c r="EN340" s="523"/>
      <c r="EO340" s="523"/>
      <c r="EP340" s="523"/>
      <c r="EQ340" s="523"/>
      <c r="ER340" s="523"/>
      <c r="ES340" s="523"/>
      <c r="ET340" s="523"/>
      <c r="EU340" s="523"/>
      <c r="EV340" s="523"/>
      <c r="EW340" s="523"/>
      <c r="EX340" s="523"/>
      <c r="EY340" s="523"/>
      <c r="EZ340" s="523"/>
      <c r="FA340" s="523"/>
      <c r="FB340" s="523"/>
      <c r="FC340" s="523"/>
      <c r="FD340" s="523"/>
      <c r="FE340" s="523"/>
      <c r="FF340" s="523"/>
      <c r="FG340" s="523"/>
      <c r="FH340" s="523"/>
      <c r="FI340" s="523"/>
      <c r="FJ340" s="523"/>
      <c r="FK340" s="523"/>
      <c r="FL340" s="523"/>
      <c r="FM340" s="523"/>
    </row>
    <row r="341" spans="1:169" s="1586" customFormat="1" ht="13.2">
      <c r="A341" s="523"/>
      <c r="B341" s="1585"/>
      <c r="C341" s="523"/>
      <c r="D341" s="523"/>
      <c r="E341" s="523"/>
      <c r="F341" s="524"/>
      <c r="G341" s="523"/>
      <c r="H341" s="523"/>
      <c r="I341" s="523"/>
      <c r="J341" s="523"/>
      <c r="K341" s="523"/>
      <c r="L341" s="1585"/>
      <c r="M341" s="1585"/>
      <c r="N341" s="1585"/>
      <c r="O341" s="523"/>
      <c r="P341" s="607"/>
      <c r="Q341" s="1595"/>
      <c r="R341" s="1595"/>
      <c r="S341" s="1595"/>
      <c r="T341" s="607"/>
      <c r="U341" s="607"/>
      <c r="V341" s="607"/>
      <c r="W341" s="523"/>
      <c r="X341" s="523"/>
      <c r="Y341" s="523"/>
      <c r="Z341" s="523"/>
      <c r="AA341" s="523"/>
      <c r="AB341" s="523"/>
      <c r="AC341" s="523"/>
      <c r="AD341" s="523"/>
      <c r="AE341" s="523"/>
      <c r="AF341" s="523"/>
      <c r="AG341" s="523"/>
      <c r="AH341" s="523"/>
      <c r="AI341" s="523"/>
      <c r="AJ341" s="523"/>
      <c r="AK341" s="523"/>
      <c r="AL341" s="523"/>
      <c r="AM341" s="523"/>
      <c r="AN341" s="523"/>
      <c r="AO341" s="523"/>
      <c r="AP341" s="523"/>
      <c r="AQ341" s="523"/>
      <c r="AR341" s="523"/>
      <c r="AS341" s="523"/>
      <c r="AT341" s="523"/>
      <c r="AU341" s="523"/>
      <c r="AV341" s="523"/>
      <c r="AW341" s="523"/>
      <c r="AX341" s="523"/>
      <c r="AY341" s="523"/>
      <c r="AZ341" s="523"/>
      <c r="BA341" s="523"/>
      <c r="BB341" s="523"/>
      <c r="BC341" s="523"/>
      <c r="BD341" s="523"/>
      <c r="BE341" s="523"/>
      <c r="BF341" s="523"/>
      <c r="BG341" s="523"/>
      <c r="BH341" s="523"/>
      <c r="BI341" s="523"/>
      <c r="BJ341" s="523"/>
      <c r="BK341" s="523"/>
      <c r="BL341" s="523"/>
      <c r="BM341" s="523"/>
      <c r="BN341" s="523"/>
      <c r="BO341" s="523"/>
      <c r="BP341" s="523"/>
      <c r="BQ341" s="523"/>
      <c r="BR341" s="523"/>
      <c r="BS341" s="523"/>
      <c r="BT341" s="523"/>
      <c r="BU341" s="523"/>
      <c r="BV341" s="523"/>
      <c r="BW341" s="523"/>
      <c r="BX341" s="523"/>
      <c r="BY341" s="523"/>
      <c r="BZ341" s="523"/>
      <c r="CA341" s="523"/>
      <c r="CB341" s="523"/>
      <c r="CC341" s="523"/>
      <c r="CD341" s="523"/>
      <c r="CE341" s="523"/>
      <c r="CF341" s="523"/>
      <c r="CG341" s="523"/>
      <c r="CH341" s="523"/>
      <c r="CI341" s="523"/>
      <c r="CJ341" s="523"/>
      <c r="CK341" s="523"/>
      <c r="CL341" s="523"/>
      <c r="CM341" s="523"/>
      <c r="CN341" s="523"/>
      <c r="CO341" s="523"/>
      <c r="CP341" s="523"/>
      <c r="CQ341" s="523"/>
      <c r="CR341" s="523"/>
      <c r="CS341" s="523"/>
      <c r="CT341" s="523"/>
      <c r="CU341" s="523"/>
      <c r="CV341" s="523"/>
      <c r="CW341" s="523"/>
      <c r="CX341" s="523"/>
      <c r="CY341" s="523"/>
      <c r="CZ341" s="523"/>
      <c r="DA341" s="523"/>
      <c r="DB341" s="523"/>
      <c r="DC341" s="523"/>
      <c r="DD341" s="523"/>
      <c r="DE341" s="523"/>
      <c r="DF341" s="523"/>
      <c r="DG341" s="523"/>
      <c r="DH341" s="523"/>
      <c r="DI341" s="523"/>
      <c r="DJ341" s="523"/>
      <c r="DK341" s="523"/>
      <c r="DL341" s="523"/>
      <c r="DM341" s="523"/>
      <c r="DN341" s="523"/>
      <c r="DO341" s="523"/>
      <c r="DP341" s="523"/>
      <c r="DQ341" s="523"/>
      <c r="DR341" s="523"/>
      <c r="DS341" s="523"/>
      <c r="DT341" s="523"/>
      <c r="DU341" s="523"/>
      <c r="DV341" s="523"/>
      <c r="DW341" s="523"/>
      <c r="DX341" s="523"/>
      <c r="DY341" s="523"/>
      <c r="DZ341" s="523"/>
      <c r="EA341" s="523"/>
      <c r="EB341" s="523"/>
      <c r="EC341" s="523"/>
      <c r="ED341" s="523"/>
      <c r="EE341" s="523"/>
      <c r="EF341" s="523"/>
      <c r="EG341" s="523"/>
      <c r="EH341" s="523"/>
      <c r="EI341" s="523"/>
      <c r="EJ341" s="523"/>
      <c r="EK341" s="523"/>
      <c r="EL341" s="523"/>
      <c r="EM341" s="523"/>
      <c r="EN341" s="523"/>
      <c r="EO341" s="523"/>
      <c r="EP341" s="523"/>
      <c r="EQ341" s="523"/>
      <c r="ER341" s="523"/>
      <c r="ES341" s="523"/>
      <c r="ET341" s="523"/>
      <c r="EU341" s="523"/>
      <c r="EV341" s="523"/>
      <c r="EW341" s="523"/>
      <c r="EX341" s="523"/>
      <c r="EY341" s="523"/>
      <c r="EZ341" s="523"/>
      <c r="FA341" s="523"/>
      <c r="FB341" s="523"/>
      <c r="FC341" s="523"/>
      <c r="FD341" s="523"/>
      <c r="FE341" s="523"/>
      <c r="FF341" s="523"/>
      <c r="FG341" s="523"/>
      <c r="FH341" s="523"/>
      <c r="FI341" s="523"/>
      <c r="FJ341" s="523"/>
      <c r="FK341" s="523"/>
      <c r="FL341" s="523"/>
      <c r="FM341" s="523"/>
    </row>
    <row r="342" spans="1:169" s="1586" customFormat="1" ht="13.2">
      <c r="A342" s="523"/>
      <c r="B342" s="1585"/>
      <c r="C342" s="523"/>
      <c r="D342" s="523"/>
      <c r="E342" s="523"/>
      <c r="F342" s="524"/>
      <c r="G342" s="523"/>
      <c r="H342" s="523"/>
      <c r="I342" s="523"/>
      <c r="J342" s="523"/>
      <c r="K342" s="523"/>
      <c r="L342" s="1585"/>
      <c r="M342" s="1585"/>
      <c r="N342" s="1585"/>
      <c r="O342" s="523"/>
      <c r="P342" s="607"/>
      <c r="Q342" s="1595"/>
      <c r="R342" s="1595"/>
      <c r="S342" s="1595"/>
      <c r="T342" s="607"/>
      <c r="U342" s="607"/>
      <c r="V342" s="607"/>
      <c r="W342" s="523"/>
      <c r="X342" s="523"/>
      <c r="Y342" s="523"/>
      <c r="Z342" s="523"/>
      <c r="AA342" s="523"/>
      <c r="AB342" s="523"/>
      <c r="AC342" s="523"/>
      <c r="AD342" s="523"/>
      <c r="AE342" s="523"/>
      <c r="AF342" s="523"/>
      <c r="AG342" s="523"/>
      <c r="AH342" s="523"/>
      <c r="AI342" s="523"/>
      <c r="AJ342" s="523"/>
      <c r="AK342" s="523"/>
      <c r="AL342" s="523"/>
      <c r="AM342" s="523"/>
      <c r="AN342" s="523"/>
      <c r="AO342" s="523"/>
      <c r="AP342" s="523"/>
      <c r="AQ342" s="523"/>
      <c r="AR342" s="523"/>
      <c r="AS342" s="523"/>
      <c r="AT342" s="523"/>
      <c r="AU342" s="523"/>
      <c r="AV342" s="523"/>
      <c r="AW342" s="523"/>
      <c r="AX342" s="523"/>
      <c r="AY342" s="523"/>
      <c r="AZ342" s="523"/>
      <c r="BA342" s="523"/>
      <c r="BB342" s="523"/>
      <c r="BC342" s="523"/>
      <c r="BD342" s="523"/>
      <c r="BE342" s="523"/>
      <c r="BF342" s="523"/>
      <c r="BG342" s="523"/>
      <c r="BH342" s="523"/>
      <c r="BI342" s="523"/>
      <c r="BJ342" s="523"/>
      <c r="BK342" s="523"/>
      <c r="BL342" s="523"/>
      <c r="BM342" s="523"/>
      <c r="BN342" s="523"/>
      <c r="BO342" s="523"/>
      <c r="BP342" s="523"/>
      <c r="BQ342" s="523"/>
      <c r="BR342" s="523"/>
      <c r="BS342" s="523"/>
      <c r="BT342" s="523"/>
      <c r="BU342" s="523"/>
      <c r="BV342" s="523"/>
      <c r="BW342" s="523"/>
      <c r="BX342" s="523"/>
      <c r="BY342" s="523"/>
      <c r="BZ342" s="523"/>
      <c r="CA342" s="523"/>
      <c r="CB342" s="523"/>
      <c r="CC342" s="523"/>
      <c r="CD342" s="523"/>
      <c r="CE342" s="523"/>
      <c r="CF342" s="523"/>
      <c r="CG342" s="523"/>
      <c r="CH342" s="523"/>
      <c r="CI342" s="523"/>
      <c r="CJ342" s="523"/>
      <c r="CK342" s="523"/>
      <c r="CL342" s="523"/>
      <c r="CM342" s="523"/>
      <c r="CN342" s="523"/>
      <c r="CO342" s="523"/>
      <c r="CP342" s="523"/>
      <c r="CQ342" s="523"/>
      <c r="CR342" s="523"/>
      <c r="CS342" s="523"/>
      <c r="CT342" s="523"/>
      <c r="CU342" s="523"/>
      <c r="CV342" s="523"/>
      <c r="CW342" s="523"/>
      <c r="CX342" s="523"/>
      <c r="CY342" s="523"/>
      <c r="CZ342" s="523"/>
      <c r="DA342" s="523"/>
      <c r="DB342" s="523"/>
      <c r="DC342" s="523"/>
      <c r="DD342" s="523"/>
      <c r="DE342" s="523"/>
      <c r="DF342" s="523"/>
      <c r="DG342" s="523"/>
      <c r="DH342" s="523"/>
      <c r="DI342" s="523"/>
      <c r="DJ342" s="523"/>
      <c r="DK342" s="523"/>
      <c r="DL342" s="523"/>
      <c r="DM342" s="523"/>
      <c r="DN342" s="523"/>
      <c r="DO342" s="523"/>
      <c r="DP342" s="523"/>
      <c r="DQ342" s="523"/>
      <c r="DR342" s="523"/>
      <c r="DS342" s="523"/>
      <c r="DT342" s="523"/>
      <c r="DU342" s="523"/>
      <c r="DV342" s="523"/>
      <c r="DW342" s="523"/>
      <c r="DX342" s="523"/>
      <c r="DY342" s="523"/>
      <c r="DZ342" s="523"/>
      <c r="EA342" s="523"/>
      <c r="EB342" s="523"/>
      <c r="EC342" s="523"/>
      <c r="ED342" s="523"/>
      <c r="EE342" s="523"/>
      <c r="EF342" s="523"/>
      <c r="EG342" s="523"/>
      <c r="EH342" s="523"/>
      <c r="EI342" s="523"/>
      <c r="EJ342" s="523"/>
      <c r="EK342" s="523"/>
      <c r="EL342" s="523"/>
      <c r="EM342" s="523"/>
      <c r="EN342" s="523"/>
      <c r="EO342" s="523"/>
      <c r="EP342" s="523"/>
      <c r="EQ342" s="523"/>
      <c r="ER342" s="523"/>
      <c r="ES342" s="523"/>
      <c r="ET342" s="523"/>
      <c r="EU342" s="523"/>
      <c r="EV342" s="523"/>
      <c r="EW342" s="523"/>
      <c r="EX342" s="523"/>
      <c r="EY342" s="523"/>
      <c r="EZ342" s="523"/>
      <c r="FA342" s="523"/>
      <c r="FB342" s="523"/>
      <c r="FC342" s="523"/>
      <c r="FD342" s="523"/>
      <c r="FE342" s="523"/>
      <c r="FF342" s="523"/>
      <c r="FG342" s="523"/>
      <c r="FH342" s="523"/>
      <c r="FI342" s="523"/>
      <c r="FJ342" s="523"/>
      <c r="FK342" s="523"/>
      <c r="FL342" s="523"/>
      <c r="FM342" s="523"/>
    </row>
    <row r="343" spans="1:169" s="1586" customFormat="1" ht="13.2">
      <c r="A343" s="523"/>
      <c r="B343" s="1585"/>
      <c r="C343" s="523"/>
      <c r="D343" s="523"/>
      <c r="E343" s="523"/>
      <c r="F343" s="524"/>
      <c r="G343" s="523"/>
      <c r="H343" s="523"/>
      <c r="I343" s="523"/>
      <c r="J343" s="523"/>
      <c r="K343" s="523"/>
      <c r="L343" s="1585"/>
      <c r="M343" s="1585"/>
      <c r="N343" s="1585"/>
      <c r="O343" s="523"/>
      <c r="P343" s="607"/>
      <c r="Q343" s="1595"/>
      <c r="R343" s="1595"/>
      <c r="S343" s="1595"/>
      <c r="T343" s="607"/>
      <c r="U343" s="607"/>
      <c r="V343" s="607"/>
      <c r="W343" s="523"/>
      <c r="X343" s="523"/>
      <c r="Y343" s="523"/>
      <c r="Z343" s="523"/>
      <c r="AA343" s="523"/>
      <c r="AB343" s="523"/>
      <c r="AC343" s="523"/>
      <c r="AD343" s="523"/>
      <c r="AE343" s="523"/>
      <c r="AF343" s="523"/>
      <c r="AG343" s="523"/>
      <c r="AH343" s="523"/>
      <c r="AI343" s="523"/>
      <c r="AJ343" s="523"/>
      <c r="AK343" s="523"/>
      <c r="AL343" s="523"/>
      <c r="AM343" s="523"/>
      <c r="AN343" s="523"/>
      <c r="AO343" s="523"/>
      <c r="AP343" s="523"/>
      <c r="AQ343" s="523"/>
      <c r="AR343" s="523"/>
      <c r="AS343" s="523"/>
      <c r="AT343" s="523"/>
      <c r="AU343" s="523"/>
      <c r="AV343" s="523"/>
      <c r="AW343" s="523"/>
      <c r="AX343" s="523"/>
      <c r="AY343" s="523"/>
      <c r="AZ343" s="523"/>
      <c r="BA343" s="523"/>
      <c r="BB343" s="523"/>
      <c r="BC343" s="523"/>
      <c r="BD343" s="523"/>
      <c r="BE343" s="523"/>
      <c r="BF343" s="523"/>
      <c r="BG343" s="523"/>
      <c r="BH343" s="523"/>
      <c r="BI343" s="523"/>
      <c r="BJ343" s="523"/>
      <c r="BK343" s="523"/>
      <c r="BL343" s="523"/>
      <c r="BM343" s="523"/>
      <c r="BN343" s="523"/>
      <c r="BO343" s="523"/>
      <c r="BP343" s="523"/>
      <c r="BQ343" s="523"/>
      <c r="BR343" s="523"/>
      <c r="BS343" s="523"/>
      <c r="BT343" s="523"/>
      <c r="BU343" s="523"/>
      <c r="BV343" s="523"/>
      <c r="BW343" s="523"/>
      <c r="BX343" s="523"/>
      <c r="BY343" s="523"/>
      <c r="BZ343" s="523"/>
      <c r="CA343" s="523"/>
      <c r="CB343" s="523"/>
      <c r="CC343" s="523"/>
      <c r="CD343" s="523"/>
      <c r="CE343" s="523"/>
      <c r="CF343" s="523"/>
      <c r="CG343" s="523"/>
      <c r="CH343" s="523"/>
      <c r="CI343" s="523"/>
      <c r="CJ343" s="523"/>
      <c r="CK343" s="523"/>
      <c r="CL343" s="523"/>
      <c r="CM343" s="523"/>
      <c r="CN343" s="523"/>
      <c r="CO343" s="523"/>
      <c r="CP343" s="523"/>
      <c r="CQ343" s="523"/>
      <c r="CR343" s="523"/>
      <c r="CS343" s="523"/>
      <c r="CT343" s="523"/>
      <c r="CU343" s="523"/>
      <c r="CV343" s="523"/>
      <c r="CW343" s="523"/>
      <c r="CX343" s="523"/>
      <c r="CY343" s="523"/>
      <c r="CZ343" s="523"/>
      <c r="DA343" s="523"/>
      <c r="DB343" s="523"/>
      <c r="DC343" s="523"/>
      <c r="DD343" s="523"/>
      <c r="DE343" s="523"/>
      <c r="DF343" s="523"/>
      <c r="DG343" s="523"/>
      <c r="DH343" s="523"/>
      <c r="DI343" s="523"/>
      <c r="DJ343" s="523"/>
      <c r="DK343" s="523"/>
      <c r="DL343" s="523"/>
      <c r="DM343" s="523"/>
      <c r="DN343" s="523"/>
      <c r="DO343" s="523"/>
      <c r="DP343" s="523"/>
      <c r="DQ343" s="523"/>
      <c r="DR343" s="523"/>
      <c r="DS343" s="523"/>
      <c r="DT343" s="523"/>
      <c r="DU343" s="523"/>
      <c r="DV343" s="523"/>
      <c r="DW343" s="523"/>
      <c r="DX343" s="523"/>
      <c r="DY343" s="523"/>
      <c r="DZ343" s="523"/>
      <c r="EA343" s="523"/>
      <c r="EB343" s="523"/>
      <c r="EC343" s="523"/>
      <c r="ED343" s="523"/>
      <c r="EE343" s="523"/>
      <c r="EF343" s="523"/>
      <c r="EG343" s="523"/>
      <c r="EH343" s="523"/>
      <c r="EI343" s="523"/>
      <c r="EJ343" s="523"/>
      <c r="EK343" s="523"/>
      <c r="EL343" s="523"/>
      <c r="EM343" s="523"/>
      <c r="EN343" s="523"/>
      <c r="EO343" s="523"/>
      <c r="EP343" s="523"/>
      <c r="EQ343" s="523"/>
      <c r="ER343" s="523"/>
      <c r="ES343" s="523"/>
      <c r="ET343" s="523"/>
      <c r="EU343" s="523"/>
      <c r="EV343" s="523"/>
      <c r="EW343" s="523"/>
      <c r="EX343" s="523"/>
      <c r="EY343" s="523"/>
      <c r="EZ343" s="523"/>
      <c r="FA343" s="523"/>
      <c r="FB343" s="523"/>
      <c r="FC343" s="523"/>
      <c r="FD343" s="523"/>
      <c r="FE343" s="523"/>
      <c r="FF343" s="523"/>
      <c r="FG343" s="523"/>
      <c r="FH343" s="523"/>
      <c r="FI343" s="523"/>
      <c r="FJ343" s="523"/>
      <c r="FK343" s="523"/>
      <c r="FL343" s="523"/>
      <c r="FM343" s="523"/>
    </row>
    <row r="344" spans="1:169" s="1586" customFormat="1" ht="13.2">
      <c r="A344" s="523"/>
      <c r="B344" s="1585"/>
      <c r="C344" s="523"/>
      <c r="D344" s="523"/>
      <c r="E344" s="523"/>
      <c r="F344" s="524"/>
      <c r="G344" s="523"/>
      <c r="H344" s="523"/>
      <c r="I344" s="523"/>
      <c r="J344" s="523"/>
      <c r="K344" s="523"/>
      <c r="L344" s="1585"/>
      <c r="M344" s="1585"/>
      <c r="N344" s="1585"/>
      <c r="O344" s="523"/>
      <c r="P344" s="607"/>
      <c r="Q344" s="1595"/>
      <c r="R344" s="1595"/>
      <c r="S344" s="1595"/>
      <c r="T344" s="607"/>
      <c r="U344" s="607"/>
      <c r="V344" s="607"/>
      <c r="W344" s="523"/>
      <c r="X344" s="523"/>
      <c r="Y344" s="523"/>
      <c r="Z344" s="523"/>
      <c r="AA344" s="523"/>
      <c r="AB344" s="523"/>
      <c r="AC344" s="523"/>
      <c r="AD344" s="523"/>
      <c r="AE344" s="523"/>
      <c r="AF344" s="523"/>
      <c r="AG344" s="523"/>
      <c r="AH344" s="523"/>
      <c r="AI344" s="523"/>
      <c r="AJ344" s="523"/>
      <c r="AK344" s="523"/>
      <c r="AL344" s="523"/>
      <c r="AM344" s="523"/>
      <c r="AN344" s="523"/>
      <c r="AO344" s="523"/>
      <c r="AP344" s="523"/>
      <c r="AQ344" s="523"/>
      <c r="AR344" s="523"/>
      <c r="AS344" s="523"/>
      <c r="AT344" s="523"/>
      <c r="AU344" s="523"/>
      <c r="AV344" s="523"/>
      <c r="AW344" s="523"/>
      <c r="AX344" s="523"/>
      <c r="AY344" s="523"/>
      <c r="AZ344" s="523"/>
      <c r="BA344" s="523"/>
      <c r="BB344" s="523"/>
      <c r="BC344" s="523"/>
      <c r="BD344" s="523"/>
      <c r="BE344" s="523"/>
      <c r="BF344" s="523"/>
      <c r="BG344" s="523"/>
      <c r="BH344" s="523"/>
      <c r="BI344" s="523"/>
      <c r="BJ344" s="523"/>
      <c r="BK344" s="523"/>
      <c r="BL344" s="523"/>
      <c r="BM344" s="523"/>
      <c r="BN344" s="523"/>
      <c r="BO344" s="523"/>
      <c r="BP344" s="523"/>
      <c r="BQ344" s="523"/>
      <c r="BR344" s="523"/>
      <c r="BS344" s="523"/>
      <c r="BT344" s="523"/>
      <c r="BU344" s="523"/>
      <c r="BV344" s="523"/>
      <c r="BW344" s="523"/>
      <c r="BX344" s="523"/>
      <c r="BY344" s="523"/>
      <c r="BZ344" s="523"/>
      <c r="CA344" s="523"/>
      <c r="CB344" s="523"/>
      <c r="CC344" s="523"/>
      <c r="CD344" s="523"/>
      <c r="CE344" s="523"/>
      <c r="CF344" s="523"/>
      <c r="CG344" s="523"/>
      <c r="CH344" s="523"/>
      <c r="CI344" s="523"/>
      <c r="CJ344" s="523"/>
      <c r="CK344" s="523"/>
      <c r="CL344" s="523"/>
      <c r="CM344" s="523"/>
      <c r="CN344" s="523"/>
      <c r="CO344" s="523"/>
      <c r="CP344" s="523"/>
      <c r="CQ344" s="523"/>
      <c r="CR344" s="523"/>
      <c r="CS344" s="523"/>
      <c r="CT344" s="523"/>
      <c r="CU344" s="523"/>
      <c r="CV344" s="523"/>
      <c r="CW344" s="523"/>
      <c r="CX344" s="523"/>
      <c r="CY344" s="523"/>
      <c r="CZ344" s="523"/>
      <c r="DA344" s="523"/>
      <c r="DB344" s="523"/>
      <c r="DC344" s="523"/>
      <c r="DD344" s="523"/>
      <c r="DE344" s="523"/>
      <c r="DF344" s="523"/>
      <c r="DG344" s="523"/>
      <c r="DH344" s="523"/>
      <c r="DI344" s="523"/>
      <c r="DJ344" s="523"/>
      <c r="DK344" s="523"/>
      <c r="DL344" s="523"/>
      <c r="DM344" s="523"/>
      <c r="DN344" s="523"/>
      <c r="DO344" s="523"/>
      <c r="DP344" s="523"/>
      <c r="DQ344" s="523"/>
      <c r="DR344" s="523"/>
      <c r="DS344" s="523"/>
      <c r="DT344" s="523"/>
      <c r="DU344" s="523"/>
      <c r="DV344" s="523"/>
      <c r="DW344" s="523"/>
      <c r="DX344" s="523"/>
      <c r="DY344" s="523"/>
      <c r="DZ344" s="523"/>
      <c r="EA344" s="523"/>
      <c r="EB344" s="523"/>
      <c r="EC344" s="523"/>
      <c r="ED344" s="523"/>
      <c r="EE344" s="523"/>
      <c r="EF344" s="523"/>
      <c r="EG344" s="523"/>
      <c r="EH344" s="523"/>
      <c r="EI344" s="523"/>
      <c r="EJ344" s="523"/>
      <c r="EK344" s="523"/>
      <c r="EL344" s="523"/>
      <c r="EM344" s="523"/>
      <c r="EN344" s="523"/>
      <c r="EO344" s="523"/>
      <c r="EP344" s="523"/>
      <c r="EQ344" s="523"/>
      <c r="ER344" s="523"/>
      <c r="ES344" s="523"/>
      <c r="ET344" s="523"/>
      <c r="EU344" s="523"/>
      <c r="EV344" s="523"/>
      <c r="EW344" s="523"/>
      <c r="EX344" s="523"/>
      <c r="EY344" s="523"/>
      <c r="EZ344" s="523"/>
      <c r="FA344" s="523"/>
      <c r="FB344" s="523"/>
      <c r="FC344" s="523"/>
      <c r="FD344" s="523"/>
      <c r="FE344" s="523"/>
      <c r="FF344" s="523"/>
      <c r="FG344" s="523"/>
      <c r="FH344" s="523"/>
      <c r="FI344" s="523"/>
      <c r="FJ344" s="523"/>
      <c r="FK344" s="523"/>
      <c r="FL344" s="523"/>
      <c r="FM344" s="523"/>
    </row>
    <row r="345" spans="1:169" s="1586" customFormat="1" ht="13.2">
      <c r="A345" s="523"/>
      <c r="B345" s="1585"/>
      <c r="C345" s="523"/>
      <c r="D345" s="523"/>
      <c r="E345" s="523"/>
      <c r="F345" s="524"/>
      <c r="G345" s="523"/>
      <c r="H345" s="523"/>
      <c r="I345" s="523"/>
      <c r="J345" s="523"/>
      <c r="K345" s="523"/>
      <c r="L345" s="1585"/>
      <c r="M345" s="1585"/>
      <c r="N345" s="1585"/>
      <c r="O345" s="523"/>
      <c r="P345" s="607"/>
      <c r="Q345" s="1595"/>
      <c r="R345" s="1595"/>
      <c r="S345" s="1595"/>
      <c r="T345" s="607"/>
      <c r="U345" s="607"/>
      <c r="V345" s="607"/>
      <c r="W345" s="523"/>
      <c r="X345" s="523"/>
      <c r="Y345" s="523"/>
      <c r="Z345" s="523"/>
      <c r="AA345" s="523"/>
      <c r="AB345" s="523"/>
      <c r="AC345" s="523"/>
      <c r="AD345" s="523"/>
      <c r="AE345" s="523"/>
      <c r="AF345" s="523"/>
      <c r="AG345" s="523"/>
      <c r="AH345" s="523"/>
      <c r="AI345" s="523"/>
      <c r="AJ345" s="523"/>
      <c r="AK345" s="523"/>
      <c r="AL345" s="523"/>
      <c r="AM345" s="523"/>
      <c r="AN345" s="523"/>
      <c r="AO345" s="523"/>
      <c r="AP345" s="523"/>
      <c r="AQ345" s="523"/>
      <c r="AR345" s="523"/>
      <c r="AS345" s="523"/>
      <c r="AT345" s="523"/>
      <c r="AU345" s="523"/>
      <c r="AV345" s="523"/>
      <c r="AW345" s="523"/>
      <c r="AX345" s="523"/>
      <c r="AY345" s="523"/>
      <c r="AZ345" s="523"/>
      <c r="BA345" s="523"/>
      <c r="BB345" s="523"/>
      <c r="BC345" s="523"/>
      <c r="BD345" s="523"/>
      <c r="BE345" s="523"/>
      <c r="BF345" s="523"/>
      <c r="BG345" s="523"/>
      <c r="BH345" s="523"/>
      <c r="BI345" s="523"/>
      <c r="BJ345" s="523"/>
      <c r="BK345" s="523"/>
      <c r="BL345" s="523"/>
      <c r="BM345" s="523"/>
      <c r="BN345" s="523"/>
      <c r="BO345" s="523"/>
      <c r="BP345" s="523"/>
      <c r="BQ345" s="523"/>
      <c r="BR345" s="523"/>
      <c r="BS345" s="523"/>
      <c r="BT345" s="523"/>
      <c r="BU345" s="523"/>
      <c r="BV345" s="523"/>
      <c r="BW345" s="523"/>
      <c r="BX345" s="523"/>
      <c r="BY345" s="523"/>
      <c r="BZ345" s="523"/>
      <c r="CA345" s="523"/>
      <c r="CB345" s="523"/>
      <c r="CC345" s="523"/>
      <c r="CD345" s="523"/>
      <c r="CE345" s="523"/>
      <c r="CF345" s="523"/>
      <c r="CG345" s="523"/>
      <c r="CH345" s="523"/>
      <c r="CI345" s="523"/>
      <c r="CJ345" s="523"/>
      <c r="CK345" s="523"/>
      <c r="CL345" s="523"/>
      <c r="CM345" s="523"/>
      <c r="CN345" s="523"/>
      <c r="CO345" s="523"/>
      <c r="CP345" s="523"/>
      <c r="CQ345" s="523"/>
      <c r="CR345" s="523"/>
      <c r="CS345" s="523"/>
      <c r="CT345" s="523"/>
      <c r="CU345" s="523"/>
      <c r="CV345" s="523"/>
      <c r="CW345" s="523"/>
      <c r="CX345" s="523"/>
      <c r="CY345" s="523"/>
      <c r="CZ345" s="523"/>
      <c r="DA345" s="523"/>
      <c r="DB345" s="523"/>
      <c r="DC345" s="523"/>
      <c r="DD345" s="523"/>
      <c r="DE345" s="523"/>
      <c r="DF345" s="523"/>
      <c r="DG345" s="523"/>
      <c r="DH345" s="523"/>
      <c r="DI345" s="523"/>
      <c r="DJ345" s="523"/>
      <c r="DK345" s="523"/>
      <c r="DL345" s="523"/>
      <c r="DM345" s="523"/>
      <c r="DN345" s="523"/>
      <c r="DO345" s="523"/>
      <c r="DP345" s="523"/>
      <c r="DQ345" s="523"/>
      <c r="DR345" s="523"/>
      <c r="DS345" s="523"/>
      <c r="DT345" s="523"/>
      <c r="DU345" s="523"/>
      <c r="DV345" s="523"/>
      <c r="DW345" s="523"/>
      <c r="DX345" s="523"/>
      <c r="DY345" s="523"/>
      <c r="DZ345" s="523"/>
      <c r="EA345" s="523"/>
      <c r="EB345" s="523"/>
      <c r="EC345" s="523"/>
      <c r="ED345" s="523"/>
      <c r="EE345" s="523"/>
      <c r="EF345" s="523"/>
      <c r="EG345" s="523"/>
      <c r="EH345" s="523"/>
      <c r="EI345" s="523"/>
      <c r="EJ345" s="523"/>
      <c r="EK345" s="523"/>
      <c r="EL345" s="523"/>
      <c r="EM345" s="523"/>
      <c r="EN345" s="523"/>
      <c r="EO345" s="523"/>
      <c r="EP345" s="523"/>
      <c r="EQ345" s="523"/>
      <c r="ER345" s="523"/>
      <c r="ES345" s="523"/>
      <c r="ET345" s="523"/>
      <c r="EU345" s="523"/>
      <c r="EV345" s="523"/>
      <c r="EW345" s="523"/>
      <c r="EX345" s="523"/>
      <c r="EY345" s="523"/>
      <c r="EZ345" s="523"/>
      <c r="FA345" s="523"/>
      <c r="FB345" s="523"/>
      <c r="FC345" s="523"/>
      <c r="FD345" s="523"/>
      <c r="FE345" s="523"/>
      <c r="FF345" s="523"/>
      <c r="FG345" s="523"/>
      <c r="FH345" s="523"/>
      <c r="FI345" s="523"/>
      <c r="FJ345" s="523"/>
      <c r="FK345" s="523"/>
      <c r="FL345" s="523"/>
      <c r="FM345" s="523"/>
    </row>
    <row r="346" spans="1:169" s="1586" customFormat="1" ht="13.2">
      <c r="A346" s="523"/>
      <c r="B346" s="1585"/>
      <c r="C346" s="523"/>
      <c r="D346" s="523"/>
      <c r="E346" s="523"/>
      <c r="F346" s="524"/>
      <c r="G346" s="523"/>
      <c r="H346" s="523"/>
      <c r="I346" s="523"/>
      <c r="J346" s="523"/>
      <c r="K346" s="523"/>
      <c r="L346" s="1585"/>
      <c r="M346" s="1585"/>
      <c r="N346" s="1585"/>
      <c r="O346" s="523"/>
      <c r="P346" s="607"/>
      <c r="Q346" s="1595"/>
      <c r="R346" s="1595"/>
      <c r="S346" s="1595"/>
      <c r="T346" s="607"/>
      <c r="U346" s="607"/>
      <c r="V346" s="607"/>
      <c r="W346" s="523"/>
      <c r="X346" s="523"/>
      <c r="Y346" s="523"/>
      <c r="Z346" s="523"/>
      <c r="AA346" s="523"/>
      <c r="AB346" s="523"/>
      <c r="AC346" s="523"/>
      <c r="AD346" s="523"/>
      <c r="AE346" s="523"/>
      <c r="AF346" s="523"/>
      <c r="AG346" s="523"/>
      <c r="AH346" s="523"/>
      <c r="AI346" s="523"/>
      <c r="AJ346" s="523"/>
      <c r="AK346" s="523"/>
      <c r="AL346" s="523"/>
      <c r="AM346" s="523"/>
      <c r="AN346" s="523"/>
      <c r="AO346" s="523"/>
      <c r="AP346" s="523"/>
      <c r="AQ346" s="523"/>
      <c r="AR346" s="523"/>
      <c r="AS346" s="523"/>
      <c r="AT346" s="523"/>
      <c r="AU346" s="523"/>
      <c r="AV346" s="523"/>
      <c r="AW346" s="523"/>
      <c r="AX346" s="523"/>
      <c r="AY346" s="523"/>
      <c r="AZ346" s="523"/>
      <c r="BA346" s="523"/>
      <c r="BB346" s="523"/>
      <c r="BC346" s="523"/>
      <c r="BD346" s="523"/>
      <c r="BE346" s="523"/>
      <c r="BF346" s="523"/>
      <c r="BG346" s="523"/>
      <c r="BH346" s="523"/>
      <c r="BI346" s="523"/>
      <c r="BJ346" s="523"/>
      <c r="BK346" s="523"/>
      <c r="BL346" s="523"/>
      <c r="BM346" s="523"/>
      <c r="BN346" s="523"/>
      <c r="BO346" s="523"/>
      <c r="BP346" s="523"/>
      <c r="BQ346" s="523"/>
      <c r="BR346" s="523"/>
      <c r="BS346" s="523"/>
      <c r="BT346" s="523"/>
      <c r="BU346" s="523"/>
      <c r="BV346" s="523"/>
      <c r="BW346" s="523"/>
      <c r="BX346" s="523"/>
      <c r="BY346" s="523"/>
      <c r="BZ346" s="523"/>
      <c r="CA346" s="523"/>
      <c r="CB346" s="523"/>
      <c r="CC346" s="523"/>
      <c r="CD346" s="523"/>
      <c r="CE346" s="523"/>
      <c r="CF346" s="523"/>
      <c r="CG346" s="523"/>
      <c r="CH346" s="523"/>
      <c r="CI346" s="523"/>
      <c r="CJ346" s="523"/>
      <c r="CK346" s="523"/>
      <c r="CL346" s="523"/>
      <c r="CM346" s="523"/>
      <c r="CN346" s="523"/>
      <c r="CO346" s="523"/>
      <c r="CP346" s="523"/>
      <c r="CQ346" s="523"/>
      <c r="CR346" s="523"/>
      <c r="CS346" s="523"/>
      <c r="CT346" s="523"/>
      <c r="CU346" s="523"/>
      <c r="CV346" s="523"/>
      <c r="CW346" s="523"/>
      <c r="CX346" s="523"/>
      <c r="CY346" s="523"/>
      <c r="CZ346" s="523"/>
      <c r="DA346" s="523"/>
      <c r="DB346" s="523"/>
      <c r="DC346" s="523"/>
      <c r="DD346" s="523"/>
      <c r="DE346" s="523"/>
      <c r="DF346" s="523"/>
      <c r="DG346" s="523"/>
      <c r="DH346" s="523"/>
      <c r="DI346" s="523"/>
      <c r="DJ346" s="523"/>
      <c r="DK346" s="523"/>
      <c r="DL346" s="523"/>
      <c r="DM346" s="523"/>
      <c r="DN346" s="523"/>
      <c r="DO346" s="523"/>
      <c r="DP346" s="523"/>
      <c r="DQ346" s="523"/>
      <c r="DR346" s="523"/>
      <c r="DS346" s="523"/>
      <c r="DT346" s="523"/>
      <c r="DU346" s="523"/>
      <c r="DV346" s="523"/>
      <c r="DW346" s="523"/>
      <c r="DX346" s="523"/>
      <c r="DY346" s="523"/>
      <c r="DZ346" s="523"/>
      <c r="EA346" s="523"/>
      <c r="EB346" s="523"/>
      <c r="EC346" s="523"/>
      <c r="ED346" s="523"/>
      <c r="EE346" s="523"/>
      <c r="EF346" s="523"/>
      <c r="EG346" s="523"/>
      <c r="EH346" s="523"/>
      <c r="EI346" s="523"/>
      <c r="EJ346" s="523"/>
      <c r="EK346" s="523"/>
      <c r="EL346" s="523"/>
      <c r="EM346" s="523"/>
      <c r="EN346" s="523"/>
      <c r="EO346" s="523"/>
      <c r="EP346" s="523"/>
      <c r="EQ346" s="523"/>
      <c r="ER346" s="523"/>
      <c r="ES346" s="523"/>
      <c r="ET346" s="523"/>
      <c r="EU346" s="523"/>
      <c r="EV346" s="523"/>
      <c r="EW346" s="523"/>
      <c r="EX346" s="523"/>
      <c r="EY346" s="523"/>
      <c r="EZ346" s="523"/>
      <c r="FA346" s="523"/>
      <c r="FB346" s="523"/>
      <c r="FC346" s="523"/>
      <c r="FD346" s="523"/>
      <c r="FE346" s="523"/>
      <c r="FF346" s="523"/>
      <c r="FG346" s="523"/>
      <c r="FH346" s="523"/>
      <c r="FI346" s="523"/>
      <c r="FJ346" s="523"/>
      <c r="FK346" s="523"/>
      <c r="FL346" s="523"/>
      <c r="FM346" s="523"/>
    </row>
    <row r="347" spans="1:169" s="1586" customFormat="1" ht="13.2">
      <c r="A347" s="523"/>
      <c r="B347" s="1585"/>
      <c r="C347" s="523"/>
      <c r="D347" s="523"/>
      <c r="E347" s="523"/>
      <c r="F347" s="524"/>
      <c r="G347" s="523"/>
      <c r="H347" s="523"/>
      <c r="I347" s="523"/>
      <c r="J347" s="523"/>
      <c r="K347" s="523"/>
      <c r="L347" s="1585"/>
      <c r="M347" s="1585"/>
      <c r="N347" s="1585"/>
      <c r="O347" s="523"/>
      <c r="P347" s="607"/>
      <c r="Q347" s="1595"/>
      <c r="R347" s="1595"/>
      <c r="S347" s="1595"/>
      <c r="T347" s="607"/>
      <c r="U347" s="607"/>
      <c r="V347" s="607"/>
      <c r="W347" s="523"/>
      <c r="X347" s="523"/>
      <c r="Y347" s="523"/>
      <c r="Z347" s="523"/>
      <c r="AA347" s="523"/>
      <c r="AB347" s="523"/>
      <c r="AC347" s="523"/>
      <c r="AD347" s="523"/>
      <c r="AE347" s="523"/>
      <c r="AF347" s="523"/>
      <c r="AG347" s="523"/>
      <c r="AH347" s="523"/>
      <c r="AI347" s="523"/>
      <c r="AJ347" s="523"/>
      <c r="AK347" s="523"/>
      <c r="AL347" s="523"/>
      <c r="AM347" s="523"/>
      <c r="AN347" s="523"/>
      <c r="AO347" s="523"/>
      <c r="AP347" s="523"/>
      <c r="AQ347" s="523"/>
      <c r="AR347" s="523"/>
      <c r="AS347" s="523"/>
      <c r="AT347" s="523"/>
      <c r="AU347" s="523"/>
      <c r="AV347" s="523"/>
      <c r="AW347" s="523"/>
      <c r="AX347" s="523"/>
      <c r="AY347" s="523"/>
      <c r="AZ347" s="523"/>
      <c r="BA347" s="523"/>
      <c r="BB347" s="523"/>
      <c r="BC347" s="523"/>
      <c r="BD347" s="523"/>
      <c r="BE347" s="523"/>
      <c r="BF347" s="523"/>
      <c r="BG347" s="523"/>
      <c r="BH347" s="523"/>
      <c r="BI347" s="523"/>
      <c r="BJ347" s="523"/>
      <c r="BK347" s="523"/>
      <c r="BL347" s="523"/>
      <c r="BM347" s="523"/>
      <c r="BN347" s="523"/>
      <c r="BO347" s="523"/>
      <c r="BP347" s="523"/>
      <c r="BQ347" s="523"/>
      <c r="BR347" s="523"/>
      <c r="BS347" s="523"/>
      <c r="BT347" s="523"/>
      <c r="BU347" s="523"/>
      <c r="BV347" s="523"/>
      <c r="BW347" s="523"/>
      <c r="BX347" s="523"/>
      <c r="BY347" s="523"/>
      <c r="BZ347" s="523"/>
      <c r="CA347" s="523"/>
      <c r="CB347" s="523"/>
      <c r="CC347" s="523"/>
      <c r="CD347" s="523"/>
      <c r="CE347" s="523"/>
      <c r="CF347" s="523"/>
      <c r="CG347" s="523"/>
      <c r="CH347" s="523"/>
      <c r="CI347" s="523"/>
      <c r="CJ347" s="523"/>
      <c r="CK347" s="523"/>
      <c r="CL347" s="523"/>
      <c r="CM347" s="523"/>
      <c r="CN347" s="523"/>
      <c r="CO347" s="523"/>
      <c r="CP347" s="523"/>
      <c r="CQ347" s="523"/>
      <c r="CR347" s="523"/>
      <c r="CS347" s="523"/>
      <c r="CT347" s="523"/>
      <c r="CU347" s="523"/>
      <c r="CV347" s="523"/>
      <c r="CW347" s="523"/>
      <c r="CX347" s="523"/>
      <c r="CY347" s="523"/>
      <c r="CZ347" s="523"/>
      <c r="DA347" s="523"/>
      <c r="DB347" s="523"/>
      <c r="DC347" s="523"/>
      <c r="DD347" s="523"/>
      <c r="DE347" s="523"/>
      <c r="DF347" s="523"/>
      <c r="DG347" s="523"/>
      <c r="DH347" s="523"/>
      <c r="DI347" s="523"/>
      <c r="DJ347" s="523"/>
      <c r="DK347" s="523"/>
      <c r="DL347" s="523"/>
      <c r="DM347" s="523"/>
      <c r="DN347" s="523"/>
      <c r="DO347" s="523"/>
      <c r="DP347" s="523"/>
      <c r="DQ347" s="523"/>
      <c r="DR347" s="523"/>
      <c r="DS347" s="523"/>
      <c r="DT347" s="523"/>
      <c r="DU347" s="523"/>
      <c r="DV347" s="523"/>
      <c r="DW347" s="523"/>
      <c r="DX347" s="523"/>
      <c r="DY347" s="523"/>
      <c r="DZ347" s="523"/>
      <c r="EA347" s="523"/>
      <c r="EB347" s="523"/>
      <c r="EC347" s="523"/>
      <c r="ED347" s="523"/>
      <c r="EE347" s="523"/>
      <c r="EF347" s="523"/>
      <c r="EG347" s="523"/>
      <c r="EH347" s="523"/>
      <c r="EI347" s="523"/>
      <c r="EJ347" s="523"/>
      <c r="EK347" s="523"/>
      <c r="EL347" s="523"/>
      <c r="EM347" s="523"/>
      <c r="EN347" s="523"/>
      <c r="EO347" s="523"/>
      <c r="EP347" s="523"/>
      <c r="EQ347" s="523"/>
      <c r="ER347" s="523"/>
      <c r="ES347" s="523"/>
      <c r="ET347" s="523"/>
      <c r="EU347" s="523"/>
      <c r="EV347" s="523"/>
      <c r="EW347" s="523"/>
      <c r="EX347" s="523"/>
      <c r="EY347" s="523"/>
      <c r="EZ347" s="523"/>
      <c r="FA347" s="523"/>
      <c r="FB347" s="523"/>
      <c r="FC347" s="523"/>
      <c r="FD347" s="523"/>
      <c r="FE347" s="523"/>
      <c r="FF347" s="523"/>
      <c r="FG347" s="523"/>
      <c r="FH347" s="523"/>
      <c r="FI347" s="523"/>
      <c r="FJ347" s="523"/>
      <c r="FK347" s="523"/>
      <c r="FL347" s="523"/>
      <c r="FM347" s="523"/>
    </row>
    <row r="348" spans="1:169" s="1586" customFormat="1" ht="13.2">
      <c r="A348" s="523"/>
      <c r="B348" s="1585"/>
      <c r="C348" s="523"/>
      <c r="D348" s="523"/>
      <c r="E348" s="523"/>
      <c r="F348" s="524"/>
      <c r="G348" s="523"/>
      <c r="H348" s="523"/>
      <c r="I348" s="523"/>
      <c r="J348" s="523"/>
      <c r="K348" s="523"/>
      <c r="L348" s="1585"/>
      <c r="M348" s="1585"/>
      <c r="N348" s="1585"/>
      <c r="O348" s="523"/>
      <c r="P348" s="607"/>
      <c r="Q348" s="1595"/>
      <c r="R348" s="1595"/>
      <c r="S348" s="1595"/>
      <c r="T348" s="607"/>
      <c r="U348" s="607"/>
      <c r="V348" s="607"/>
      <c r="W348" s="523"/>
      <c r="X348" s="523"/>
      <c r="Y348" s="523"/>
      <c r="Z348" s="523"/>
      <c r="AA348" s="523"/>
      <c r="AB348" s="523"/>
      <c r="AC348" s="523"/>
      <c r="AD348" s="523"/>
      <c r="AE348" s="523"/>
      <c r="AF348" s="523"/>
      <c r="AG348" s="523"/>
      <c r="AH348" s="523"/>
      <c r="AI348" s="523"/>
      <c r="AJ348" s="523"/>
      <c r="AK348" s="523"/>
      <c r="AL348" s="523"/>
      <c r="AM348" s="523"/>
      <c r="AN348" s="523"/>
      <c r="AO348" s="523"/>
      <c r="AP348" s="523"/>
      <c r="AQ348" s="523"/>
      <c r="AR348" s="523"/>
      <c r="AS348" s="523"/>
      <c r="AT348" s="523"/>
      <c r="AU348" s="523"/>
      <c r="AV348" s="523"/>
      <c r="AW348" s="523"/>
      <c r="AX348" s="523"/>
      <c r="AY348" s="523"/>
      <c r="AZ348" s="523"/>
      <c r="BA348" s="523"/>
      <c r="BB348" s="523"/>
      <c r="BC348" s="523"/>
      <c r="BD348" s="523"/>
      <c r="BE348" s="523"/>
      <c r="BF348" s="523"/>
      <c r="BG348" s="523"/>
      <c r="BH348" s="523"/>
      <c r="BI348" s="523"/>
      <c r="BJ348" s="523"/>
      <c r="BK348" s="523"/>
      <c r="BL348" s="523"/>
      <c r="BM348" s="523"/>
      <c r="BN348" s="523"/>
      <c r="BO348" s="523"/>
      <c r="BP348" s="523"/>
      <c r="BQ348" s="523"/>
      <c r="BR348" s="523"/>
      <c r="BS348" s="523"/>
      <c r="BT348" s="523"/>
      <c r="BU348" s="523"/>
      <c r="BV348" s="523"/>
      <c r="BW348" s="523"/>
      <c r="BX348" s="523"/>
      <c r="BY348" s="523"/>
      <c r="BZ348" s="523"/>
      <c r="CA348" s="523"/>
      <c r="CB348" s="523"/>
      <c r="CC348" s="523"/>
      <c r="CD348" s="523"/>
      <c r="CE348" s="523"/>
      <c r="CF348" s="523"/>
      <c r="CG348" s="523"/>
      <c r="CH348" s="523"/>
      <c r="CI348" s="523"/>
      <c r="CJ348" s="523"/>
      <c r="CK348" s="523"/>
      <c r="CL348" s="523"/>
      <c r="CM348" s="523"/>
      <c r="CN348" s="523"/>
      <c r="CO348" s="523"/>
      <c r="CP348" s="523"/>
      <c r="CQ348" s="523"/>
      <c r="CR348" s="523"/>
      <c r="CS348" s="523"/>
      <c r="CT348" s="523"/>
      <c r="CU348" s="523"/>
      <c r="CV348" s="523"/>
      <c r="CW348" s="523"/>
      <c r="CX348" s="523"/>
      <c r="CY348" s="523"/>
      <c r="CZ348" s="523"/>
      <c r="DA348" s="523"/>
      <c r="DB348" s="523"/>
      <c r="DC348" s="523"/>
      <c r="DD348" s="523"/>
      <c r="DE348" s="523"/>
      <c r="DF348" s="523"/>
      <c r="DG348" s="523"/>
      <c r="DH348" s="523"/>
      <c r="DI348" s="523"/>
      <c r="DJ348" s="523"/>
      <c r="DK348" s="523"/>
      <c r="DL348" s="523"/>
      <c r="DM348" s="523"/>
      <c r="DN348" s="523"/>
      <c r="DO348" s="523"/>
      <c r="DP348" s="523"/>
      <c r="DQ348" s="523"/>
      <c r="DR348" s="523"/>
      <c r="DS348" s="523"/>
      <c r="DT348" s="523"/>
      <c r="DU348" s="523"/>
      <c r="DV348" s="523"/>
      <c r="DW348" s="523"/>
      <c r="DX348" s="523"/>
      <c r="DY348" s="523"/>
      <c r="DZ348" s="523"/>
      <c r="EA348" s="523"/>
      <c r="EB348" s="523"/>
      <c r="EC348" s="523"/>
      <c r="ED348" s="523"/>
      <c r="EE348" s="523"/>
      <c r="EF348" s="523"/>
      <c r="EG348" s="523"/>
      <c r="EH348" s="523"/>
      <c r="EI348" s="523"/>
      <c r="EJ348" s="523"/>
      <c r="EK348" s="523"/>
      <c r="EL348" s="523"/>
      <c r="EM348" s="523"/>
      <c r="EN348" s="523"/>
      <c r="EO348" s="523"/>
      <c r="EP348" s="523"/>
      <c r="EQ348" s="523"/>
      <c r="ER348" s="523"/>
      <c r="ES348" s="523"/>
      <c r="ET348" s="523"/>
      <c r="EU348" s="523"/>
      <c r="EV348" s="523"/>
      <c r="EW348" s="523"/>
      <c r="EX348" s="523"/>
      <c r="EY348" s="523"/>
      <c r="EZ348" s="523"/>
      <c r="FA348" s="523"/>
      <c r="FB348" s="523"/>
      <c r="FC348" s="523"/>
      <c r="FD348" s="523"/>
      <c r="FE348" s="523"/>
      <c r="FF348" s="523"/>
      <c r="FG348" s="523"/>
      <c r="FH348" s="523"/>
      <c r="FI348" s="523"/>
      <c r="FJ348" s="523"/>
      <c r="FK348" s="523"/>
      <c r="FL348" s="523"/>
      <c r="FM348" s="523"/>
    </row>
    <row r="349" spans="1:169" s="1586" customFormat="1" ht="13.2">
      <c r="A349" s="523"/>
      <c r="B349" s="1585"/>
      <c r="C349" s="523"/>
      <c r="D349" s="523"/>
      <c r="E349" s="523"/>
      <c r="F349" s="524"/>
      <c r="G349" s="523"/>
      <c r="H349" s="523"/>
      <c r="I349" s="523"/>
      <c r="J349" s="523"/>
      <c r="K349" s="523"/>
      <c r="L349" s="1585"/>
      <c r="M349" s="1585"/>
      <c r="N349" s="1585"/>
      <c r="O349" s="523"/>
      <c r="P349" s="607"/>
      <c r="Q349" s="1595"/>
      <c r="R349" s="1595"/>
      <c r="S349" s="1595"/>
      <c r="T349" s="607"/>
      <c r="U349" s="607"/>
      <c r="V349" s="607"/>
      <c r="W349" s="523"/>
      <c r="X349" s="523"/>
      <c r="Y349" s="523"/>
      <c r="Z349" s="523"/>
      <c r="AA349" s="523"/>
      <c r="AB349" s="523"/>
      <c r="AC349" s="523"/>
      <c r="AD349" s="523"/>
      <c r="AE349" s="523"/>
      <c r="AF349" s="523"/>
      <c r="AG349" s="523"/>
      <c r="AH349" s="523"/>
      <c r="AI349" s="523"/>
      <c r="AJ349" s="523"/>
      <c r="AK349" s="523"/>
      <c r="AL349" s="523"/>
      <c r="AM349" s="523"/>
      <c r="AN349" s="523"/>
      <c r="AO349" s="523"/>
      <c r="AP349" s="523"/>
      <c r="AQ349" s="523"/>
      <c r="AR349" s="523"/>
      <c r="AS349" s="523"/>
      <c r="AT349" s="523"/>
      <c r="AU349" s="523"/>
      <c r="AV349" s="523"/>
      <c r="AW349" s="523"/>
      <c r="AX349" s="523"/>
      <c r="AY349" s="523"/>
      <c r="AZ349" s="523"/>
      <c r="BA349" s="523"/>
      <c r="BB349" s="523"/>
      <c r="BC349" s="523"/>
      <c r="BD349" s="523"/>
      <c r="BE349" s="523"/>
      <c r="BF349" s="523"/>
      <c r="BG349" s="523"/>
      <c r="BH349" s="523"/>
      <c r="BI349" s="523"/>
      <c r="BJ349" s="523"/>
      <c r="BK349" s="523"/>
      <c r="BL349" s="523"/>
      <c r="BM349" s="523"/>
      <c r="BN349" s="523"/>
      <c r="BO349" s="523"/>
      <c r="BP349" s="523"/>
      <c r="BQ349" s="523"/>
      <c r="BR349" s="523"/>
      <c r="BS349" s="523"/>
      <c r="BT349" s="523"/>
      <c r="BU349" s="523"/>
      <c r="BV349" s="523"/>
      <c r="BW349" s="523"/>
      <c r="BX349" s="523"/>
      <c r="BY349" s="523"/>
      <c r="BZ349" s="523"/>
      <c r="CA349" s="523"/>
      <c r="CB349" s="523"/>
      <c r="CC349" s="523"/>
      <c r="CD349" s="523"/>
      <c r="CE349" s="523"/>
      <c r="CF349" s="523"/>
      <c r="CG349" s="523"/>
      <c r="CH349" s="523"/>
      <c r="CI349" s="523"/>
      <c r="CJ349" s="523"/>
      <c r="CK349" s="523"/>
      <c r="CL349" s="523"/>
      <c r="CM349" s="523"/>
      <c r="CN349" s="523"/>
      <c r="CO349" s="523"/>
      <c r="CP349" s="523"/>
      <c r="CQ349" s="523"/>
      <c r="CR349" s="523"/>
      <c r="CS349" s="523"/>
      <c r="CT349" s="523"/>
      <c r="CU349" s="523"/>
      <c r="CV349" s="523"/>
      <c r="CW349" s="523"/>
      <c r="CX349" s="523"/>
      <c r="CY349" s="523"/>
      <c r="CZ349" s="523"/>
      <c r="DA349" s="523"/>
      <c r="DB349" s="523"/>
      <c r="DC349" s="523"/>
      <c r="DD349" s="523"/>
      <c r="DE349" s="523"/>
      <c r="DF349" s="523"/>
      <c r="DG349" s="523"/>
      <c r="DH349" s="523"/>
      <c r="DI349" s="523"/>
      <c r="DJ349" s="523"/>
      <c r="DK349" s="523"/>
      <c r="DL349" s="523"/>
      <c r="DM349" s="523"/>
      <c r="DN349" s="523"/>
      <c r="DO349" s="523"/>
      <c r="DP349" s="523"/>
      <c r="DQ349" s="523"/>
      <c r="DR349" s="523"/>
      <c r="DS349" s="523"/>
      <c r="DT349" s="523"/>
      <c r="DU349" s="523"/>
      <c r="DV349" s="523"/>
      <c r="DW349" s="523"/>
      <c r="DX349" s="523"/>
      <c r="DY349" s="523"/>
      <c r="DZ349" s="523"/>
      <c r="EA349" s="523"/>
      <c r="EB349" s="523"/>
      <c r="EC349" s="523"/>
      <c r="ED349" s="523"/>
      <c r="EE349" s="523"/>
      <c r="EF349" s="523"/>
      <c r="EG349" s="523"/>
      <c r="EH349" s="523"/>
      <c r="EI349" s="523"/>
      <c r="EJ349" s="523"/>
      <c r="EK349" s="523"/>
      <c r="EL349" s="523"/>
      <c r="EM349" s="523"/>
      <c r="EN349" s="523"/>
      <c r="EO349" s="523"/>
      <c r="EP349" s="523"/>
      <c r="EQ349" s="523"/>
      <c r="ER349" s="523"/>
      <c r="ES349" s="523"/>
      <c r="ET349" s="523"/>
      <c r="EU349" s="523"/>
      <c r="EV349" s="523"/>
      <c r="EW349" s="523"/>
      <c r="EX349" s="523"/>
      <c r="EY349" s="523"/>
      <c r="EZ349" s="523"/>
      <c r="FA349" s="523"/>
      <c r="FB349" s="523"/>
      <c r="FC349" s="523"/>
      <c r="FD349" s="523"/>
      <c r="FE349" s="523"/>
      <c r="FF349" s="523"/>
      <c r="FG349" s="523"/>
      <c r="FH349" s="523"/>
      <c r="FI349" s="523"/>
      <c r="FJ349" s="523"/>
      <c r="FK349" s="523"/>
      <c r="FL349" s="523"/>
      <c r="FM349" s="523"/>
    </row>
    <row r="350" spans="1:169" s="1586" customFormat="1" ht="13.2">
      <c r="A350" s="523"/>
      <c r="B350" s="1585"/>
      <c r="C350" s="523"/>
      <c r="D350" s="523"/>
      <c r="E350" s="523"/>
      <c r="F350" s="524"/>
      <c r="G350" s="523"/>
      <c r="H350" s="523"/>
      <c r="I350" s="523"/>
      <c r="J350" s="523"/>
      <c r="K350" s="523"/>
      <c r="L350" s="1585"/>
      <c r="M350" s="1585"/>
      <c r="N350" s="1585"/>
      <c r="O350" s="523"/>
      <c r="P350" s="607"/>
      <c r="Q350" s="1595"/>
      <c r="R350" s="1595"/>
      <c r="S350" s="1595"/>
      <c r="T350" s="607"/>
      <c r="U350" s="607"/>
      <c r="V350" s="607"/>
      <c r="W350" s="523"/>
      <c r="X350" s="523"/>
      <c r="Y350" s="523"/>
      <c r="Z350" s="523"/>
      <c r="AA350" s="523"/>
      <c r="AB350" s="523"/>
      <c r="AC350" s="523"/>
      <c r="AD350" s="523"/>
      <c r="AE350" s="523"/>
      <c r="AF350" s="523"/>
      <c r="AG350" s="523"/>
      <c r="AH350" s="523"/>
      <c r="AI350" s="523"/>
      <c r="AJ350" s="523"/>
      <c r="AK350" s="523"/>
      <c r="AL350" s="523"/>
      <c r="AM350" s="523"/>
      <c r="AN350" s="523"/>
      <c r="AO350" s="523"/>
      <c r="AP350" s="523"/>
      <c r="AQ350" s="523"/>
      <c r="AR350" s="523"/>
      <c r="AS350" s="523"/>
      <c r="AT350" s="523"/>
      <c r="AU350" s="523"/>
      <c r="AV350" s="523"/>
      <c r="AW350" s="523"/>
      <c r="AX350" s="523"/>
      <c r="AY350" s="523"/>
      <c r="AZ350" s="523"/>
      <c r="BA350" s="523"/>
      <c r="BB350" s="523"/>
      <c r="BC350" s="523"/>
      <c r="BD350" s="523"/>
      <c r="BE350" s="523"/>
      <c r="BF350" s="523"/>
      <c r="BG350" s="523"/>
      <c r="BH350" s="523"/>
      <c r="BI350" s="523"/>
      <c r="BJ350" s="523"/>
      <c r="BK350" s="523"/>
      <c r="BL350" s="523"/>
      <c r="BM350" s="523"/>
      <c r="BN350" s="523"/>
      <c r="BO350" s="523"/>
      <c r="BP350" s="523"/>
      <c r="BQ350" s="523"/>
      <c r="BR350" s="523"/>
      <c r="BS350" s="523"/>
      <c r="BT350" s="523"/>
      <c r="BU350" s="523"/>
      <c r="BV350" s="523"/>
      <c r="BW350" s="523"/>
      <c r="BX350" s="523"/>
      <c r="BY350" s="523"/>
      <c r="BZ350" s="523"/>
      <c r="CA350" s="523"/>
      <c r="CB350" s="523"/>
      <c r="CC350" s="523"/>
      <c r="CD350" s="523"/>
      <c r="CE350" s="523"/>
      <c r="CF350" s="523"/>
      <c r="CG350" s="523"/>
      <c r="CH350" s="523"/>
      <c r="CI350" s="523"/>
      <c r="CJ350" s="523"/>
      <c r="CK350" s="523"/>
      <c r="CL350" s="523"/>
      <c r="CM350" s="523"/>
      <c r="CN350" s="523"/>
      <c r="CO350" s="523"/>
      <c r="CP350" s="523"/>
      <c r="CQ350" s="523"/>
      <c r="CR350" s="523"/>
      <c r="CS350" s="523"/>
      <c r="CT350" s="523"/>
      <c r="CU350" s="523"/>
      <c r="CV350" s="523"/>
      <c r="CW350" s="523"/>
      <c r="CX350" s="523"/>
      <c r="CY350" s="523"/>
      <c r="CZ350" s="523"/>
      <c r="DA350" s="523"/>
      <c r="DB350" s="523"/>
      <c r="DC350" s="523"/>
      <c r="DD350" s="523"/>
      <c r="DE350" s="523"/>
      <c r="DF350" s="523"/>
      <c r="DG350" s="523"/>
      <c r="DH350" s="523"/>
      <c r="DI350" s="523"/>
      <c r="DJ350" s="523"/>
      <c r="DK350" s="523"/>
      <c r="DL350" s="523"/>
      <c r="DM350" s="523"/>
      <c r="DN350" s="523"/>
      <c r="DO350" s="523"/>
      <c r="DP350" s="523"/>
      <c r="DQ350" s="523"/>
      <c r="DR350" s="523"/>
      <c r="DS350" s="523"/>
      <c r="DT350" s="523"/>
      <c r="DU350" s="523"/>
      <c r="DV350" s="523"/>
      <c r="DW350" s="523"/>
      <c r="DX350" s="523"/>
      <c r="DY350" s="523"/>
      <c r="DZ350" s="523"/>
      <c r="EA350" s="523"/>
      <c r="EB350" s="523"/>
      <c r="EC350" s="523"/>
      <c r="ED350" s="523"/>
      <c r="EE350" s="523"/>
      <c r="EF350" s="523"/>
      <c r="EG350" s="523"/>
      <c r="EH350" s="523"/>
      <c r="EI350" s="523"/>
      <c r="EJ350" s="523"/>
      <c r="EK350" s="523"/>
      <c r="EL350" s="523"/>
      <c r="EM350" s="523"/>
      <c r="EN350" s="523"/>
      <c r="EO350" s="523"/>
      <c r="EP350" s="523"/>
      <c r="EQ350" s="523"/>
      <c r="ER350" s="523"/>
      <c r="ES350" s="523"/>
      <c r="ET350" s="523"/>
      <c r="EU350" s="523"/>
      <c r="EV350" s="523"/>
      <c r="EW350" s="523"/>
      <c r="EX350" s="523"/>
      <c r="EY350" s="523"/>
      <c r="EZ350" s="523"/>
      <c r="FA350" s="523"/>
      <c r="FB350" s="523"/>
      <c r="FC350" s="523"/>
      <c r="FD350" s="523"/>
      <c r="FE350" s="523"/>
      <c r="FF350" s="523"/>
      <c r="FG350" s="523"/>
      <c r="FH350" s="523"/>
      <c r="FI350" s="523"/>
      <c r="FJ350" s="523"/>
      <c r="FK350" s="523"/>
      <c r="FL350" s="523"/>
      <c r="FM350" s="523"/>
    </row>
    <row r="351" spans="1:169" s="1586" customFormat="1" ht="13.2">
      <c r="A351" s="523"/>
      <c r="B351" s="1585"/>
      <c r="C351" s="523"/>
      <c r="D351" s="523"/>
      <c r="E351" s="523"/>
      <c r="F351" s="524"/>
      <c r="G351" s="523"/>
      <c r="H351" s="523"/>
      <c r="I351" s="523"/>
      <c r="J351" s="523"/>
      <c r="K351" s="523"/>
      <c r="L351" s="1585"/>
      <c r="M351" s="1585"/>
      <c r="N351" s="1585"/>
      <c r="O351" s="523"/>
      <c r="P351" s="607"/>
      <c r="Q351" s="1595"/>
      <c r="R351" s="1595"/>
      <c r="S351" s="1595"/>
      <c r="T351" s="607"/>
      <c r="U351" s="607"/>
      <c r="V351" s="607"/>
      <c r="W351" s="523"/>
      <c r="X351" s="523"/>
      <c r="Y351" s="523"/>
      <c r="Z351" s="523"/>
      <c r="AA351" s="523"/>
      <c r="AB351" s="523"/>
      <c r="AC351" s="523"/>
      <c r="AD351" s="523"/>
      <c r="AE351" s="523"/>
      <c r="AF351" s="523"/>
      <c r="AG351" s="523"/>
      <c r="AH351" s="523"/>
      <c r="AI351" s="523"/>
      <c r="AJ351" s="523"/>
      <c r="AK351" s="523"/>
      <c r="AL351" s="523"/>
      <c r="AM351" s="523"/>
      <c r="AN351" s="523"/>
      <c r="AO351" s="523"/>
      <c r="AP351" s="523"/>
      <c r="AQ351" s="523"/>
      <c r="AR351" s="523"/>
      <c r="AS351" s="523"/>
      <c r="AT351" s="523"/>
      <c r="AU351" s="523"/>
      <c r="AV351" s="523"/>
      <c r="AW351" s="523"/>
      <c r="AX351" s="523"/>
      <c r="AY351" s="523"/>
      <c r="AZ351" s="523"/>
      <c r="BA351" s="523"/>
      <c r="BB351" s="523"/>
      <c r="BC351" s="523"/>
      <c r="BD351" s="523"/>
      <c r="BE351" s="523"/>
      <c r="BF351" s="523"/>
      <c r="BG351" s="523"/>
      <c r="BH351" s="523"/>
      <c r="BI351" s="523"/>
      <c r="BJ351" s="523"/>
      <c r="BK351" s="523"/>
      <c r="BL351" s="523"/>
      <c r="BM351" s="523"/>
      <c r="BN351" s="523"/>
      <c r="BO351" s="523"/>
      <c r="BP351" s="523"/>
      <c r="BQ351" s="523"/>
      <c r="BR351" s="523"/>
      <c r="BS351" s="523"/>
      <c r="BT351" s="523"/>
      <c r="BU351" s="523"/>
      <c r="BV351" s="523"/>
      <c r="BW351" s="523"/>
      <c r="BX351" s="523"/>
      <c r="BY351" s="523"/>
      <c r="BZ351" s="523"/>
      <c r="CA351" s="523"/>
      <c r="CB351" s="523"/>
      <c r="CC351" s="523"/>
      <c r="CD351" s="523"/>
      <c r="CE351" s="523"/>
      <c r="CF351" s="523"/>
      <c r="CG351" s="523"/>
      <c r="CH351" s="523"/>
      <c r="CI351" s="523"/>
      <c r="CJ351" s="523"/>
      <c r="CK351" s="523"/>
      <c r="CL351" s="523"/>
      <c r="CM351" s="523"/>
      <c r="CN351" s="523"/>
      <c r="CO351" s="523"/>
      <c r="CP351" s="523"/>
      <c r="CQ351" s="523"/>
      <c r="CR351" s="523"/>
      <c r="CS351" s="523"/>
      <c r="CT351" s="523"/>
      <c r="CU351" s="523"/>
      <c r="CV351" s="523"/>
      <c r="CW351" s="523"/>
      <c r="CX351" s="523"/>
      <c r="CY351" s="523"/>
      <c r="CZ351" s="523"/>
      <c r="DA351" s="523"/>
      <c r="DB351" s="523"/>
      <c r="DC351" s="523"/>
      <c r="DD351" s="523"/>
      <c r="DE351" s="523"/>
      <c r="DF351" s="523"/>
      <c r="DG351" s="523"/>
      <c r="DH351" s="523"/>
      <c r="DI351" s="523"/>
      <c r="DJ351" s="523"/>
      <c r="DK351" s="523"/>
      <c r="DL351" s="523"/>
      <c r="DM351" s="523"/>
      <c r="DN351" s="523"/>
      <c r="DO351" s="523"/>
      <c r="DP351" s="523"/>
      <c r="DQ351" s="523"/>
      <c r="DR351" s="523"/>
      <c r="DS351" s="523"/>
      <c r="DT351" s="523"/>
      <c r="DU351" s="523"/>
      <c r="DV351" s="523"/>
      <c r="DW351" s="523"/>
      <c r="DX351" s="523"/>
      <c r="DY351" s="523"/>
      <c r="DZ351" s="523"/>
      <c r="EA351" s="523"/>
      <c r="EB351" s="523"/>
      <c r="EC351" s="523"/>
      <c r="ED351" s="523"/>
      <c r="EE351" s="523"/>
      <c r="EF351" s="523"/>
      <c r="EG351" s="523"/>
      <c r="EH351" s="523"/>
      <c r="EI351" s="523"/>
      <c r="EJ351" s="523"/>
      <c r="EK351" s="523"/>
      <c r="EL351" s="523"/>
      <c r="EM351" s="523"/>
      <c r="EN351" s="523"/>
      <c r="EO351" s="523"/>
      <c r="EP351" s="523"/>
      <c r="EQ351" s="523"/>
      <c r="ER351" s="523"/>
      <c r="ES351" s="523"/>
      <c r="ET351" s="523"/>
      <c r="EU351" s="523"/>
      <c r="EV351" s="523"/>
      <c r="EW351" s="523"/>
      <c r="EX351" s="523"/>
      <c r="EY351" s="523"/>
      <c r="EZ351" s="523"/>
      <c r="FA351" s="523"/>
      <c r="FB351" s="523"/>
      <c r="FC351" s="523"/>
      <c r="FD351" s="523"/>
      <c r="FE351" s="523"/>
      <c r="FF351" s="523"/>
      <c r="FG351" s="523"/>
      <c r="FH351" s="523"/>
      <c r="FI351" s="523"/>
      <c r="FJ351" s="523"/>
      <c r="FK351" s="523"/>
      <c r="FL351" s="523"/>
      <c r="FM351" s="523"/>
    </row>
    <row r="352" spans="1:169" s="1586" customFormat="1" ht="13.2">
      <c r="A352" s="523"/>
      <c r="B352" s="1585"/>
      <c r="C352" s="523"/>
      <c r="D352" s="523"/>
      <c r="E352" s="523"/>
      <c r="F352" s="524"/>
      <c r="G352" s="523"/>
      <c r="H352" s="523"/>
      <c r="I352" s="523"/>
      <c r="J352" s="523"/>
      <c r="K352" s="523"/>
      <c r="L352" s="1585"/>
      <c r="M352" s="1585"/>
      <c r="N352" s="1585"/>
      <c r="O352" s="523"/>
      <c r="P352" s="607"/>
      <c r="Q352" s="1595"/>
      <c r="R352" s="1595"/>
      <c r="S352" s="1595"/>
      <c r="T352" s="607"/>
      <c r="U352" s="607"/>
      <c r="V352" s="607"/>
      <c r="W352" s="523"/>
      <c r="X352" s="523"/>
      <c r="Y352" s="523"/>
      <c r="Z352" s="523"/>
      <c r="AA352" s="523"/>
      <c r="AB352" s="523"/>
      <c r="AC352" s="523"/>
      <c r="AD352" s="523"/>
      <c r="AE352" s="523"/>
      <c r="AF352" s="523"/>
      <c r="AG352" s="523"/>
      <c r="AH352" s="523"/>
      <c r="AI352" s="523"/>
      <c r="AJ352" s="523"/>
      <c r="AK352" s="523"/>
      <c r="AL352" s="523"/>
      <c r="AM352" s="523"/>
      <c r="AN352" s="523"/>
      <c r="AO352" s="523"/>
      <c r="AP352" s="523"/>
      <c r="AQ352" s="523"/>
      <c r="AR352" s="523"/>
      <c r="AS352" s="523"/>
      <c r="AT352" s="523"/>
      <c r="AU352" s="523"/>
      <c r="AV352" s="523"/>
      <c r="AW352" s="523"/>
      <c r="AX352" s="523"/>
      <c r="AY352" s="523"/>
      <c r="AZ352" s="523"/>
      <c r="BA352" s="523"/>
      <c r="BB352" s="523"/>
      <c r="BC352" s="523"/>
      <c r="BD352" s="523"/>
      <c r="BE352" s="523"/>
      <c r="BF352" s="523"/>
      <c r="BG352" s="523"/>
      <c r="BH352" s="523"/>
      <c r="BI352" s="523"/>
      <c r="BJ352" s="523"/>
      <c r="BK352" s="523"/>
      <c r="BL352" s="523"/>
      <c r="BM352" s="523"/>
      <c r="BN352" s="523"/>
      <c r="BO352" s="523"/>
      <c r="BP352" s="523"/>
      <c r="BQ352" s="523"/>
      <c r="BR352" s="523"/>
      <c r="BS352" s="523"/>
      <c r="BT352" s="523"/>
      <c r="BU352" s="523"/>
      <c r="BV352" s="523"/>
      <c r="BW352" s="523"/>
      <c r="BX352" s="523"/>
      <c r="BY352" s="523"/>
      <c r="BZ352" s="523"/>
      <c r="CA352" s="523"/>
      <c r="CB352" s="523"/>
      <c r="CC352" s="523"/>
      <c r="CD352" s="523"/>
      <c r="CE352" s="523"/>
      <c r="CF352" s="523"/>
      <c r="CG352" s="523"/>
      <c r="CH352" s="523"/>
      <c r="CI352" s="523"/>
      <c r="CJ352" s="523"/>
      <c r="CK352" s="523"/>
      <c r="CL352" s="523"/>
      <c r="CM352" s="523"/>
      <c r="CN352" s="523"/>
      <c r="CO352" s="523"/>
      <c r="CP352" s="523"/>
      <c r="CQ352" s="523"/>
      <c r="CR352" s="523"/>
      <c r="CS352" s="523"/>
      <c r="CT352" s="523"/>
      <c r="CU352" s="523"/>
      <c r="CV352" s="523"/>
      <c r="CW352" s="523"/>
      <c r="CX352" s="523"/>
      <c r="CY352" s="523"/>
      <c r="CZ352" s="523"/>
      <c r="DA352" s="523"/>
      <c r="DB352" s="523"/>
      <c r="DC352" s="523"/>
      <c r="DD352" s="523"/>
      <c r="DE352" s="523"/>
      <c r="DF352" s="523"/>
      <c r="DG352" s="523"/>
      <c r="DH352" s="523"/>
      <c r="DI352" s="523"/>
      <c r="DJ352" s="523"/>
      <c r="DK352" s="523"/>
      <c r="DL352" s="523"/>
      <c r="DM352" s="523"/>
      <c r="DN352" s="523"/>
      <c r="DO352" s="523"/>
      <c r="DP352" s="523"/>
      <c r="DQ352" s="523"/>
      <c r="DR352" s="523"/>
      <c r="DS352" s="523"/>
      <c r="DT352" s="523"/>
      <c r="DU352" s="523"/>
      <c r="DV352" s="523"/>
      <c r="DW352" s="523"/>
      <c r="DX352" s="523"/>
      <c r="DY352" s="523"/>
      <c r="DZ352" s="523"/>
      <c r="EA352" s="523"/>
      <c r="EB352" s="523"/>
      <c r="EC352" s="523"/>
      <c r="ED352" s="523"/>
      <c r="EE352" s="523"/>
      <c r="EF352" s="523"/>
      <c r="EG352" s="523"/>
      <c r="EH352" s="523"/>
      <c r="EI352" s="523"/>
      <c r="EJ352" s="523"/>
      <c r="EK352" s="523"/>
      <c r="EL352" s="523"/>
      <c r="EM352" s="523"/>
      <c r="EN352" s="523"/>
      <c r="EO352" s="523"/>
      <c r="EP352" s="523"/>
      <c r="EQ352" s="523"/>
      <c r="ER352" s="523"/>
      <c r="ES352" s="523"/>
      <c r="ET352" s="523"/>
      <c r="EU352" s="523"/>
      <c r="EV352" s="523"/>
      <c r="EW352" s="523"/>
      <c r="EX352" s="523"/>
      <c r="EY352" s="523"/>
      <c r="EZ352" s="523"/>
      <c r="FA352" s="523"/>
      <c r="FB352" s="523"/>
      <c r="FC352" s="523"/>
      <c r="FD352" s="523"/>
      <c r="FE352" s="523"/>
      <c r="FF352" s="523"/>
      <c r="FG352" s="523"/>
      <c r="FH352" s="523"/>
      <c r="FI352" s="523"/>
      <c r="FJ352" s="523"/>
      <c r="FK352" s="523"/>
      <c r="FL352" s="523"/>
      <c r="FM352" s="523"/>
    </row>
    <row r="353" spans="1:169" s="1586" customFormat="1" ht="13.2">
      <c r="A353" s="523"/>
      <c r="B353" s="1585"/>
      <c r="C353" s="523"/>
      <c r="D353" s="523"/>
      <c r="E353" s="523"/>
      <c r="F353" s="524"/>
      <c r="G353" s="523"/>
      <c r="H353" s="523"/>
      <c r="I353" s="523"/>
      <c r="J353" s="523"/>
      <c r="K353" s="523"/>
      <c r="L353" s="1585"/>
      <c r="M353" s="1585"/>
      <c r="N353" s="1585"/>
      <c r="O353" s="523"/>
      <c r="P353" s="607"/>
      <c r="Q353" s="1595"/>
      <c r="R353" s="1595"/>
      <c r="S353" s="1595"/>
      <c r="T353" s="607"/>
      <c r="U353" s="607"/>
      <c r="V353" s="607"/>
      <c r="W353" s="523"/>
      <c r="X353" s="523"/>
      <c r="Y353" s="523"/>
      <c r="Z353" s="523"/>
      <c r="AA353" s="523"/>
      <c r="AB353" s="523"/>
      <c r="AC353" s="523"/>
      <c r="AD353" s="523"/>
      <c r="AE353" s="523"/>
      <c r="AF353" s="523"/>
      <c r="AG353" s="523"/>
      <c r="AH353" s="523"/>
      <c r="AI353" s="523"/>
      <c r="AJ353" s="523"/>
      <c r="AK353" s="523"/>
      <c r="AL353" s="523"/>
      <c r="AM353" s="523"/>
      <c r="AN353" s="523"/>
      <c r="AO353" s="523"/>
      <c r="AP353" s="523"/>
      <c r="AQ353" s="523"/>
      <c r="AR353" s="523"/>
      <c r="AS353" s="523"/>
      <c r="AT353" s="523"/>
      <c r="AU353" s="523"/>
      <c r="AV353" s="523"/>
      <c r="AW353" s="523"/>
      <c r="AX353" s="523"/>
      <c r="AY353" s="523"/>
      <c r="AZ353" s="523"/>
      <c r="BA353" s="523"/>
      <c r="BB353" s="523"/>
      <c r="BC353" s="523"/>
      <c r="BD353" s="523"/>
      <c r="BE353" s="523"/>
      <c r="BF353" s="523"/>
      <c r="BG353" s="523"/>
      <c r="BH353" s="523"/>
      <c r="BI353" s="523"/>
      <c r="BJ353" s="523"/>
      <c r="BK353" s="523"/>
      <c r="BL353" s="523"/>
      <c r="BM353" s="523"/>
      <c r="BN353" s="523"/>
      <c r="BO353" s="523"/>
      <c r="BP353" s="523"/>
      <c r="BQ353" s="523"/>
      <c r="BR353" s="523"/>
      <c r="BS353" s="523"/>
      <c r="BT353" s="523"/>
      <c r="BU353" s="523"/>
      <c r="BV353" s="523"/>
      <c r="BW353" s="523"/>
      <c r="BX353" s="523"/>
      <c r="BY353" s="523"/>
      <c r="BZ353" s="523"/>
      <c r="CA353" s="523"/>
      <c r="CB353" s="523"/>
      <c r="CC353" s="523"/>
      <c r="CD353" s="523"/>
      <c r="CE353" s="523"/>
      <c r="CF353" s="523"/>
      <c r="CG353" s="523"/>
      <c r="CH353" s="523"/>
      <c r="CI353" s="523"/>
      <c r="CJ353" s="523"/>
      <c r="CK353" s="523"/>
      <c r="CL353" s="523"/>
      <c r="CM353" s="523"/>
      <c r="CN353" s="523"/>
      <c r="CO353" s="523"/>
      <c r="CP353" s="523"/>
      <c r="CQ353" s="523"/>
      <c r="CR353" s="523"/>
      <c r="CS353" s="523"/>
      <c r="CT353" s="523"/>
      <c r="CU353" s="523"/>
      <c r="CV353" s="523"/>
      <c r="CW353" s="523"/>
      <c r="CX353" s="523"/>
      <c r="CY353" s="523"/>
      <c r="CZ353" s="523"/>
      <c r="DA353" s="523"/>
      <c r="DB353" s="523"/>
      <c r="DC353" s="523"/>
      <c r="DD353" s="523"/>
      <c r="DE353" s="523"/>
      <c r="DF353" s="523"/>
      <c r="DG353" s="523"/>
      <c r="DH353" s="523"/>
      <c r="DI353" s="523"/>
      <c r="DJ353" s="523"/>
      <c r="DK353" s="523"/>
      <c r="DL353" s="523"/>
      <c r="DM353" s="523"/>
      <c r="DN353" s="523"/>
      <c r="DO353" s="523"/>
      <c r="DP353" s="523"/>
      <c r="DQ353" s="523"/>
      <c r="DR353" s="523"/>
      <c r="DS353" s="523"/>
      <c r="DT353" s="523"/>
      <c r="DU353" s="523"/>
      <c r="DV353" s="523"/>
      <c r="DW353" s="523"/>
      <c r="DX353" s="523"/>
      <c r="DY353" s="523"/>
      <c r="DZ353" s="523"/>
      <c r="EA353" s="523"/>
      <c r="EB353" s="523"/>
      <c r="EC353" s="523"/>
      <c r="ED353" s="523"/>
      <c r="EE353" s="523"/>
      <c r="EF353" s="523"/>
      <c r="EG353" s="523"/>
      <c r="EH353" s="523"/>
      <c r="EI353" s="523"/>
      <c r="EJ353" s="523"/>
      <c r="EK353" s="523"/>
      <c r="EL353" s="523"/>
      <c r="EM353" s="523"/>
      <c r="EN353" s="523"/>
      <c r="EO353" s="523"/>
      <c r="EP353" s="523"/>
      <c r="EQ353" s="523"/>
      <c r="ER353" s="523"/>
      <c r="ES353" s="523"/>
      <c r="ET353" s="523"/>
      <c r="EU353" s="523"/>
      <c r="EV353" s="523"/>
      <c r="EW353" s="523"/>
      <c r="EX353" s="523"/>
      <c r="EY353" s="523"/>
      <c r="EZ353" s="523"/>
      <c r="FA353" s="523"/>
      <c r="FB353" s="523"/>
      <c r="FC353" s="523"/>
      <c r="FD353" s="523"/>
      <c r="FE353" s="523"/>
      <c r="FF353" s="523"/>
      <c r="FG353" s="523"/>
      <c r="FH353" s="523"/>
      <c r="FI353" s="523"/>
      <c r="FJ353" s="523"/>
      <c r="FK353" s="523"/>
      <c r="FL353" s="523"/>
      <c r="FM353" s="523"/>
    </row>
    <row r="354" spans="1:169" s="1586" customFormat="1" ht="13.2">
      <c r="A354" s="523"/>
      <c r="B354" s="1585"/>
      <c r="C354" s="523"/>
      <c r="D354" s="523"/>
      <c r="E354" s="523"/>
      <c r="F354" s="524"/>
      <c r="G354" s="523"/>
      <c r="H354" s="523"/>
      <c r="I354" s="523"/>
      <c r="J354" s="523"/>
      <c r="K354" s="523"/>
      <c r="L354" s="1585"/>
      <c r="M354" s="1585"/>
      <c r="N354" s="1585"/>
      <c r="O354" s="523"/>
      <c r="P354" s="607"/>
      <c r="Q354" s="1595"/>
      <c r="R354" s="1595"/>
      <c r="S354" s="1595"/>
      <c r="T354" s="607"/>
      <c r="U354" s="607"/>
      <c r="V354" s="607"/>
      <c r="W354" s="523"/>
      <c r="X354" s="523"/>
      <c r="Y354" s="523"/>
      <c r="Z354" s="523"/>
      <c r="AA354" s="523"/>
      <c r="AB354" s="523"/>
      <c r="AC354" s="523"/>
      <c r="AD354" s="523"/>
      <c r="AE354" s="523"/>
      <c r="AF354" s="523"/>
      <c r="AG354" s="523"/>
      <c r="AH354" s="523"/>
      <c r="AI354" s="523"/>
      <c r="AJ354" s="523"/>
      <c r="AK354" s="523"/>
      <c r="AL354" s="523"/>
      <c r="AM354" s="523"/>
      <c r="AN354" s="523"/>
      <c r="AO354" s="523"/>
      <c r="AP354" s="523"/>
      <c r="AQ354" s="523"/>
      <c r="AR354" s="523"/>
      <c r="AS354" s="523"/>
      <c r="AT354" s="523"/>
      <c r="AU354" s="523"/>
      <c r="AV354" s="523"/>
      <c r="AW354" s="523"/>
      <c r="AX354" s="523"/>
      <c r="AY354" s="523"/>
      <c r="AZ354" s="523"/>
      <c r="BA354" s="523"/>
      <c r="BB354" s="523"/>
      <c r="BC354" s="523"/>
      <c r="BD354" s="523"/>
      <c r="BE354" s="523"/>
      <c r="BF354" s="523"/>
      <c r="BG354" s="523"/>
      <c r="BH354" s="523"/>
      <c r="BI354" s="523"/>
      <c r="BJ354" s="523"/>
      <c r="BK354" s="523"/>
      <c r="BL354" s="523"/>
      <c r="BM354" s="523"/>
      <c r="BN354" s="523"/>
      <c r="BO354" s="523"/>
      <c r="BP354" s="523"/>
      <c r="BQ354" s="523"/>
      <c r="BR354" s="523"/>
      <c r="BS354" s="523"/>
      <c r="BT354" s="523"/>
      <c r="BU354" s="523"/>
      <c r="BV354" s="523"/>
      <c r="BW354" s="523"/>
      <c r="BX354" s="523"/>
      <c r="BY354" s="523"/>
      <c r="BZ354" s="523"/>
      <c r="CA354" s="523"/>
      <c r="CB354" s="523"/>
      <c r="CC354" s="523"/>
      <c r="CD354" s="523"/>
      <c r="CE354" s="523"/>
      <c r="CF354" s="523"/>
      <c r="CG354" s="523"/>
      <c r="CH354" s="523"/>
      <c r="CI354" s="523"/>
      <c r="CJ354" s="523"/>
      <c r="CK354" s="523"/>
      <c r="CL354" s="523"/>
      <c r="CM354" s="523"/>
      <c r="CN354" s="523"/>
      <c r="CO354" s="523"/>
      <c r="CP354" s="523"/>
      <c r="CQ354" s="523"/>
      <c r="CR354" s="523"/>
      <c r="CS354" s="523"/>
      <c r="CT354" s="523"/>
      <c r="CU354" s="523"/>
      <c r="CV354" s="523"/>
      <c r="CW354" s="523"/>
      <c r="CX354" s="523"/>
      <c r="CY354" s="523"/>
      <c r="CZ354" s="523"/>
      <c r="DA354" s="523"/>
      <c r="DB354" s="523"/>
      <c r="DC354" s="523"/>
      <c r="DD354" s="523"/>
      <c r="DE354" s="523"/>
      <c r="DF354" s="523"/>
      <c r="DG354" s="523"/>
      <c r="DH354" s="523"/>
      <c r="DI354" s="523"/>
      <c r="DJ354" s="523"/>
      <c r="DK354" s="523"/>
      <c r="DL354" s="523"/>
      <c r="DM354" s="523"/>
      <c r="DN354" s="523"/>
      <c r="DO354" s="523"/>
      <c r="DP354" s="523"/>
      <c r="DQ354" s="523"/>
      <c r="DR354" s="523"/>
      <c r="DS354" s="523"/>
      <c r="DT354" s="523"/>
      <c r="DU354" s="523"/>
      <c r="DV354" s="523"/>
      <c r="DW354" s="523"/>
      <c r="DX354" s="523"/>
      <c r="DY354" s="523"/>
      <c r="DZ354" s="523"/>
      <c r="EA354" s="523"/>
      <c r="EB354" s="523"/>
      <c r="EC354" s="523"/>
      <c r="ED354" s="523"/>
      <c r="EE354" s="523"/>
      <c r="EF354" s="523"/>
      <c r="EG354" s="523"/>
      <c r="EH354" s="523"/>
      <c r="EI354" s="523"/>
      <c r="EJ354" s="523"/>
      <c r="EK354" s="523"/>
      <c r="EL354" s="523"/>
      <c r="EM354" s="523"/>
      <c r="EN354" s="523"/>
      <c r="EO354" s="523"/>
      <c r="EP354" s="523"/>
      <c r="EQ354" s="523"/>
      <c r="ER354" s="523"/>
      <c r="ES354" s="523"/>
      <c r="ET354" s="523"/>
      <c r="EU354" s="523"/>
      <c r="EV354" s="523"/>
      <c r="EW354" s="523"/>
      <c r="EX354" s="523"/>
      <c r="EY354" s="523"/>
      <c r="EZ354" s="523"/>
      <c r="FA354" s="523"/>
      <c r="FB354" s="523"/>
      <c r="FC354" s="523"/>
      <c r="FD354" s="523"/>
      <c r="FE354" s="523"/>
      <c r="FF354" s="523"/>
      <c r="FG354" s="523"/>
      <c r="FH354" s="523"/>
      <c r="FI354" s="523"/>
      <c r="FJ354" s="523"/>
      <c r="FK354" s="523"/>
      <c r="FL354" s="523"/>
      <c r="FM354" s="523"/>
    </row>
    <row r="355" spans="1:169" s="1586" customFormat="1" ht="13.2">
      <c r="A355" s="523"/>
      <c r="B355" s="1585"/>
      <c r="C355" s="523"/>
      <c r="D355" s="523"/>
      <c r="E355" s="523"/>
      <c r="F355" s="524"/>
      <c r="G355" s="523"/>
      <c r="H355" s="523"/>
      <c r="I355" s="523"/>
      <c r="J355" s="523"/>
      <c r="K355" s="523"/>
      <c r="L355" s="1585"/>
      <c r="M355" s="1585"/>
      <c r="N355" s="1585"/>
      <c r="O355" s="523"/>
      <c r="P355" s="607"/>
      <c r="Q355" s="1595"/>
      <c r="R355" s="1595"/>
      <c r="S355" s="1595"/>
      <c r="T355" s="607"/>
      <c r="U355" s="607"/>
      <c r="V355" s="607"/>
      <c r="W355" s="523"/>
      <c r="X355" s="523"/>
      <c r="Y355" s="523"/>
      <c r="Z355" s="523"/>
      <c r="AA355" s="523"/>
      <c r="AB355" s="523"/>
      <c r="AC355" s="523"/>
      <c r="AD355" s="523"/>
      <c r="AE355" s="523"/>
      <c r="AF355" s="523"/>
      <c r="AG355" s="523"/>
      <c r="AH355" s="523"/>
      <c r="AI355" s="523"/>
      <c r="AJ355" s="523"/>
      <c r="AK355" s="523"/>
      <c r="AL355" s="523"/>
      <c r="AM355" s="523"/>
      <c r="AN355" s="523"/>
      <c r="AO355" s="523"/>
      <c r="AP355" s="523"/>
      <c r="AQ355" s="523"/>
      <c r="AR355" s="523"/>
      <c r="AS355" s="523"/>
      <c r="AT355" s="523"/>
      <c r="AU355" s="523"/>
      <c r="AV355" s="523"/>
      <c r="AW355" s="523"/>
      <c r="AX355" s="523"/>
      <c r="AY355" s="523"/>
      <c r="AZ355" s="523"/>
      <c r="BA355" s="523"/>
      <c r="BB355" s="523"/>
      <c r="BC355" s="523"/>
      <c r="BD355" s="523"/>
      <c r="BE355" s="523"/>
      <c r="BF355" s="523"/>
      <c r="BG355" s="523"/>
      <c r="BH355" s="523"/>
      <c r="BI355" s="523"/>
      <c r="BJ355" s="523"/>
      <c r="BK355" s="523"/>
      <c r="BL355" s="523"/>
      <c r="BM355" s="523"/>
      <c r="BN355" s="523"/>
      <c r="BO355" s="523"/>
      <c r="BP355" s="523"/>
      <c r="BQ355" s="523"/>
      <c r="BR355" s="523"/>
      <c r="BS355" s="523"/>
      <c r="BT355" s="523"/>
      <c r="BU355" s="523"/>
      <c r="BV355" s="523"/>
      <c r="BW355" s="523"/>
      <c r="BX355" s="523"/>
      <c r="BY355" s="523"/>
      <c r="BZ355" s="523"/>
      <c r="CA355" s="523"/>
      <c r="CB355" s="523"/>
      <c r="CC355" s="523"/>
      <c r="CD355" s="523"/>
      <c r="CE355" s="523"/>
      <c r="CF355" s="523"/>
      <c r="CG355" s="523"/>
      <c r="CH355" s="523"/>
      <c r="CI355" s="523"/>
      <c r="CJ355" s="523"/>
      <c r="CK355" s="523"/>
      <c r="CL355" s="523"/>
      <c r="CM355" s="523"/>
      <c r="CN355" s="523"/>
      <c r="CO355" s="523"/>
      <c r="CP355" s="523"/>
      <c r="CQ355" s="523"/>
      <c r="CR355" s="523"/>
      <c r="CS355" s="523"/>
      <c r="CT355" s="523"/>
      <c r="CU355" s="523"/>
      <c r="CV355" s="523"/>
      <c r="CW355" s="523"/>
      <c r="CX355" s="523"/>
      <c r="CY355" s="523"/>
      <c r="CZ355" s="523"/>
      <c r="DA355" s="523"/>
      <c r="DB355" s="523"/>
      <c r="DC355" s="523"/>
      <c r="DD355" s="523"/>
      <c r="DE355" s="523"/>
      <c r="DF355" s="523"/>
      <c r="DG355" s="523"/>
      <c r="DH355" s="523"/>
      <c r="DI355" s="523"/>
      <c r="DJ355" s="523"/>
      <c r="DK355" s="523"/>
      <c r="DL355" s="523"/>
      <c r="DM355" s="523"/>
      <c r="DN355" s="523"/>
      <c r="DO355" s="523"/>
      <c r="DP355" s="523"/>
      <c r="DQ355" s="523"/>
      <c r="DR355" s="523"/>
      <c r="DS355" s="523"/>
      <c r="DT355" s="523"/>
      <c r="DU355" s="523"/>
      <c r="DV355" s="523"/>
      <c r="DW355" s="523"/>
      <c r="DX355" s="523"/>
      <c r="DY355" s="523"/>
      <c r="DZ355" s="523"/>
      <c r="EA355" s="523"/>
      <c r="EB355" s="523"/>
      <c r="EC355" s="523"/>
      <c r="ED355" s="523"/>
      <c r="EE355" s="523"/>
      <c r="EF355" s="523"/>
      <c r="EG355" s="523"/>
      <c r="EH355" s="523"/>
      <c r="EI355" s="523"/>
      <c r="EJ355" s="523"/>
      <c r="EK355" s="523"/>
      <c r="EL355" s="523"/>
      <c r="EM355" s="523"/>
      <c r="EN355" s="523"/>
      <c r="EO355" s="523"/>
      <c r="EP355" s="523"/>
      <c r="EQ355" s="523"/>
      <c r="ER355" s="523"/>
      <c r="ES355" s="523"/>
      <c r="ET355" s="523"/>
      <c r="EU355" s="523"/>
      <c r="EV355" s="523"/>
      <c r="EW355" s="523"/>
      <c r="EX355" s="523"/>
      <c r="EY355" s="523"/>
      <c r="EZ355" s="523"/>
      <c r="FA355" s="523"/>
      <c r="FB355" s="523"/>
      <c r="FC355" s="523"/>
      <c r="FD355" s="523"/>
      <c r="FE355" s="523"/>
      <c r="FF355" s="523"/>
      <c r="FG355" s="523"/>
      <c r="FH355" s="523"/>
      <c r="FI355" s="523"/>
      <c r="FJ355" s="523"/>
      <c r="FK355" s="523"/>
      <c r="FL355" s="523"/>
      <c r="FM355" s="523"/>
    </row>
    <row r="356" spans="1:169" s="1586" customFormat="1" ht="13.2">
      <c r="A356" s="523"/>
      <c r="B356" s="1585"/>
      <c r="C356" s="523"/>
      <c r="D356" s="523"/>
      <c r="E356" s="523"/>
      <c r="F356" s="524"/>
      <c r="G356" s="523"/>
      <c r="H356" s="523"/>
      <c r="I356" s="523"/>
      <c r="J356" s="523"/>
      <c r="K356" s="523"/>
      <c r="L356" s="1585"/>
      <c r="M356" s="1585"/>
      <c r="N356" s="1585"/>
      <c r="O356" s="523"/>
      <c r="P356" s="607"/>
      <c r="Q356" s="1595"/>
      <c r="R356" s="1595"/>
      <c r="S356" s="1595"/>
      <c r="T356" s="607"/>
      <c r="U356" s="607"/>
      <c r="V356" s="607"/>
      <c r="W356" s="523"/>
      <c r="X356" s="523"/>
      <c r="Y356" s="523"/>
      <c r="Z356" s="523"/>
      <c r="AA356" s="523"/>
      <c r="AB356" s="523"/>
      <c r="AC356" s="523"/>
      <c r="AD356" s="523"/>
      <c r="AE356" s="523"/>
      <c r="AF356" s="523"/>
      <c r="AG356" s="523"/>
      <c r="AH356" s="523"/>
      <c r="AI356" s="523"/>
      <c r="AJ356" s="523"/>
      <c r="AK356" s="523"/>
      <c r="AL356" s="523"/>
      <c r="AM356" s="523"/>
      <c r="AN356" s="523"/>
      <c r="AO356" s="523"/>
      <c r="AP356" s="523"/>
      <c r="AQ356" s="523"/>
      <c r="AR356" s="523"/>
      <c r="AS356" s="523"/>
      <c r="AT356" s="523"/>
      <c r="AU356" s="523"/>
      <c r="AV356" s="523"/>
      <c r="AW356" s="523"/>
      <c r="AX356" s="523"/>
      <c r="AY356" s="523"/>
      <c r="AZ356" s="523"/>
      <c r="BA356" s="523"/>
      <c r="BB356" s="523"/>
      <c r="BC356" s="523"/>
      <c r="BD356" s="523"/>
      <c r="BE356" s="523"/>
      <c r="BF356" s="523"/>
      <c r="BG356" s="523"/>
      <c r="BH356" s="523"/>
      <c r="BI356" s="523"/>
      <c r="BJ356" s="523"/>
      <c r="BK356" s="523"/>
      <c r="BL356" s="523"/>
      <c r="BM356" s="523"/>
      <c r="BN356" s="523"/>
      <c r="BO356" s="523"/>
      <c r="BP356" s="523"/>
      <c r="BQ356" s="523"/>
      <c r="BR356" s="523"/>
      <c r="BS356" s="523"/>
      <c r="BT356" s="523"/>
      <c r="BU356" s="523"/>
      <c r="BV356" s="523"/>
      <c r="BW356" s="523"/>
      <c r="BX356" s="523"/>
      <c r="BY356" s="523"/>
      <c r="BZ356" s="523"/>
      <c r="CA356" s="523"/>
      <c r="CB356" s="523"/>
      <c r="CC356" s="523"/>
      <c r="CD356" s="523"/>
      <c r="CE356" s="523"/>
      <c r="CF356" s="523"/>
      <c r="CG356" s="523"/>
      <c r="CH356" s="523"/>
      <c r="CI356" s="523"/>
      <c r="CJ356" s="523"/>
      <c r="CK356" s="523"/>
      <c r="CL356" s="523"/>
      <c r="CM356" s="523"/>
      <c r="CN356" s="523"/>
      <c r="CO356" s="523"/>
      <c r="CP356" s="523"/>
      <c r="CQ356" s="523"/>
      <c r="CR356" s="523"/>
      <c r="CS356" s="523"/>
      <c r="CT356" s="523"/>
      <c r="CU356" s="523"/>
      <c r="CV356" s="523"/>
      <c r="CW356" s="523"/>
      <c r="CX356" s="523"/>
      <c r="CY356" s="523"/>
      <c r="CZ356" s="523"/>
      <c r="DA356" s="523"/>
      <c r="DB356" s="523"/>
      <c r="DC356" s="523"/>
      <c r="DD356" s="523"/>
      <c r="DE356" s="523"/>
      <c r="DF356" s="523"/>
      <c r="DG356" s="523"/>
      <c r="DH356" s="523"/>
      <c r="DI356" s="523"/>
      <c r="DJ356" s="523"/>
      <c r="DK356" s="523"/>
      <c r="DL356" s="523"/>
      <c r="DM356" s="523"/>
      <c r="DN356" s="523"/>
      <c r="DO356" s="523"/>
      <c r="DP356" s="523"/>
      <c r="DQ356" s="523"/>
      <c r="DR356" s="523"/>
      <c r="DS356" s="523"/>
      <c r="DT356" s="523"/>
      <c r="DU356" s="523"/>
      <c r="DV356" s="523"/>
      <c r="DW356" s="523"/>
      <c r="DX356" s="523"/>
      <c r="DY356" s="523"/>
      <c r="DZ356" s="523"/>
      <c r="EA356" s="523"/>
      <c r="EB356" s="523"/>
      <c r="EC356" s="523"/>
      <c r="ED356" s="523"/>
      <c r="EE356" s="523"/>
      <c r="EF356" s="523"/>
      <c r="EG356" s="523"/>
      <c r="EH356" s="523"/>
      <c r="EI356" s="523"/>
      <c r="EJ356" s="523"/>
      <c r="EK356" s="523"/>
      <c r="EL356" s="523"/>
      <c r="EM356" s="523"/>
      <c r="EN356" s="523"/>
      <c r="EO356" s="523"/>
      <c r="EP356" s="523"/>
      <c r="EQ356" s="523"/>
      <c r="ER356" s="523"/>
      <c r="ES356" s="523"/>
      <c r="ET356" s="523"/>
      <c r="EU356" s="523"/>
      <c r="EV356" s="523"/>
      <c r="EW356" s="523"/>
      <c r="EX356" s="523"/>
      <c r="EY356" s="523"/>
      <c r="EZ356" s="523"/>
      <c r="FA356" s="523"/>
      <c r="FB356" s="523"/>
      <c r="FC356" s="523"/>
      <c r="FD356" s="523"/>
      <c r="FE356" s="523"/>
      <c r="FF356" s="523"/>
      <c r="FG356" s="523"/>
      <c r="FH356" s="523"/>
      <c r="FI356" s="523"/>
      <c r="FJ356" s="523"/>
      <c r="FK356" s="523"/>
      <c r="FL356" s="523"/>
      <c r="FM356" s="523"/>
    </row>
    <row r="357" spans="1:169" s="1586" customFormat="1" ht="13.2">
      <c r="A357" s="523"/>
      <c r="B357" s="1585"/>
      <c r="C357" s="523"/>
      <c r="D357" s="523"/>
      <c r="E357" s="523"/>
      <c r="F357" s="524"/>
      <c r="G357" s="523"/>
      <c r="H357" s="523"/>
      <c r="I357" s="523"/>
      <c r="J357" s="523"/>
      <c r="K357" s="523"/>
      <c r="L357" s="1585"/>
      <c r="M357" s="1585"/>
      <c r="N357" s="1585"/>
      <c r="O357" s="523"/>
      <c r="P357" s="607"/>
      <c r="Q357" s="1595"/>
      <c r="R357" s="1595"/>
      <c r="S357" s="1595"/>
      <c r="T357" s="607"/>
      <c r="U357" s="607"/>
      <c r="V357" s="607"/>
      <c r="W357" s="523"/>
      <c r="X357" s="523"/>
      <c r="Y357" s="523"/>
      <c r="Z357" s="523"/>
      <c r="AA357" s="523"/>
      <c r="AB357" s="523"/>
      <c r="AC357" s="523"/>
      <c r="AD357" s="523"/>
      <c r="AE357" s="523"/>
      <c r="AF357" s="523"/>
      <c r="AG357" s="523"/>
      <c r="AH357" s="523"/>
      <c r="AI357" s="523"/>
      <c r="AJ357" s="523"/>
      <c r="AK357" s="523"/>
      <c r="AL357" s="523"/>
      <c r="AM357" s="523"/>
      <c r="AN357" s="523"/>
      <c r="AO357" s="523"/>
      <c r="AP357" s="523"/>
      <c r="AQ357" s="523"/>
      <c r="AR357" s="523"/>
      <c r="AS357" s="523"/>
      <c r="AT357" s="523"/>
      <c r="AU357" s="523"/>
      <c r="AV357" s="523"/>
      <c r="AW357" s="523"/>
      <c r="AX357" s="523"/>
      <c r="AY357" s="523"/>
      <c r="AZ357" s="523"/>
      <c r="BA357" s="523"/>
      <c r="BB357" s="523"/>
      <c r="BC357" s="523"/>
      <c r="BD357" s="523"/>
      <c r="BE357" s="523"/>
      <c r="BF357" s="523"/>
      <c r="BG357" s="523"/>
      <c r="BH357" s="523"/>
      <c r="BI357" s="523"/>
      <c r="BJ357" s="523"/>
      <c r="BK357" s="523"/>
      <c r="BL357" s="523"/>
      <c r="BM357" s="523"/>
      <c r="BN357" s="523"/>
      <c r="BO357" s="523"/>
      <c r="BP357" s="523"/>
      <c r="BQ357" s="523"/>
      <c r="BR357" s="523"/>
      <c r="BS357" s="523"/>
      <c r="BT357" s="523"/>
      <c r="BU357" s="523"/>
      <c r="BV357" s="523"/>
      <c r="BW357" s="523"/>
      <c r="BX357" s="523"/>
      <c r="BY357" s="523"/>
      <c r="BZ357" s="523"/>
      <c r="CA357" s="523"/>
      <c r="CB357" s="523"/>
      <c r="CC357" s="523"/>
      <c r="CD357" s="523"/>
      <c r="CE357" s="523"/>
      <c r="CF357" s="523"/>
      <c r="CG357" s="523"/>
      <c r="CH357" s="523"/>
      <c r="CI357" s="523"/>
      <c r="CJ357" s="523"/>
      <c r="CK357" s="523"/>
      <c r="CL357" s="523"/>
      <c r="CM357" s="523"/>
      <c r="CN357" s="523"/>
      <c r="CO357" s="523"/>
      <c r="CP357" s="523"/>
      <c r="CQ357" s="523"/>
      <c r="CR357" s="523"/>
      <c r="CS357" s="523"/>
      <c r="CT357" s="523"/>
      <c r="CU357" s="523"/>
      <c r="CV357" s="523"/>
      <c r="CW357" s="523"/>
      <c r="CX357" s="523"/>
      <c r="CY357" s="523"/>
      <c r="CZ357" s="523"/>
      <c r="DA357" s="523"/>
      <c r="DB357" s="523"/>
      <c r="DC357" s="523"/>
      <c r="DD357" s="523"/>
      <c r="DE357" s="523"/>
      <c r="DF357" s="523"/>
      <c r="DG357" s="523"/>
      <c r="DH357" s="523"/>
      <c r="DI357" s="523"/>
      <c r="DJ357" s="523"/>
      <c r="DK357" s="523"/>
      <c r="DL357" s="523"/>
      <c r="DM357" s="523"/>
      <c r="DN357" s="523"/>
      <c r="DO357" s="523"/>
      <c r="DP357" s="523"/>
      <c r="DQ357" s="523"/>
      <c r="DR357" s="523"/>
      <c r="DS357" s="523"/>
      <c r="DT357" s="523"/>
      <c r="DU357" s="523"/>
      <c r="DV357" s="523"/>
      <c r="DW357" s="523"/>
      <c r="DX357" s="523"/>
      <c r="DY357" s="523"/>
      <c r="DZ357" s="523"/>
      <c r="EA357" s="523"/>
      <c r="EB357" s="523"/>
      <c r="EC357" s="523"/>
      <c r="ED357" s="523"/>
      <c r="EE357" s="523"/>
      <c r="EF357" s="523"/>
      <c r="EG357" s="523"/>
      <c r="EH357" s="523"/>
      <c r="EI357" s="523"/>
      <c r="EJ357" s="523"/>
      <c r="EK357" s="523"/>
      <c r="EL357" s="523"/>
      <c r="EM357" s="523"/>
      <c r="EN357" s="523"/>
      <c r="EO357" s="523"/>
      <c r="EP357" s="523"/>
      <c r="EQ357" s="523"/>
      <c r="ER357" s="523"/>
      <c r="ES357" s="523"/>
      <c r="ET357" s="523"/>
      <c r="EU357" s="523"/>
      <c r="EV357" s="523"/>
      <c r="EW357" s="523"/>
      <c r="EX357" s="523"/>
      <c r="EY357" s="523"/>
      <c r="EZ357" s="523"/>
      <c r="FA357" s="523"/>
      <c r="FB357" s="523"/>
      <c r="FC357" s="523"/>
      <c r="FD357" s="523"/>
      <c r="FE357" s="523"/>
      <c r="FF357" s="523"/>
      <c r="FG357" s="523"/>
      <c r="FH357" s="523"/>
      <c r="FI357" s="523"/>
      <c r="FJ357" s="523"/>
      <c r="FK357" s="523"/>
      <c r="FL357" s="523"/>
      <c r="FM357" s="523"/>
    </row>
    <row r="358" spans="1:169" s="1586" customFormat="1" ht="13.2">
      <c r="A358" s="523"/>
      <c r="B358" s="1585"/>
      <c r="C358" s="523"/>
      <c r="D358" s="523"/>
      <c r="E358" s="523"/>
      <c r="F358" s="524"/>
      <c r="G358" s="523"/>
      <c r="H358" s="523"/>
      <c r="I358" s="523"/>
      <c r="J358" s="523"/>
      <c r="K358" s="523"/>
      <c r="L358" s="1585"/>
      <c r="M358" s="1585"/>
      <c r="N358" s="1585"/>
      <c r="O358" s="523"/>
      <c r="P358" s="607"/>
      <c r="Q358" s="1595"/>
      <c r="R358" s="1595"/>
      <c r="S358" s="1595"/>
      <c r="T358" s="607"/>
      <c r="U358" s="607"/>
      <c r="V358" s="607"/>
      <c r="W358" s="523"/>
      <c r="X358" s="523"/>
      <c r="Y358" s="523"/>
      <c r="Z358" s="523"/>
      <c r="AA358" s="523"/>
      <c r="AB358" s="523"/>
      <c r="AC358" s="523"/>
      <c r="AD358" s="523"/>
      <c r="AE358" s="523"/>
      <c r="AF358" s="523"/>
      <c r="AG358" s="523"/>
      <c r="AH358" s="523"/>
      <c r="AI358" s="523"/>
      <c r="AJ358" s="523"/>
      <c r="AK358" s="523"/>
      <c r="AL358" s="523"/>
      <c r="AM358" s="523"/>
      <c r="AN358" s="523"/>
      <c r="AO358" s="523"/>
      <c r="AP358" s="523"/>
      <c r="AQ358" s="523"/>
      <c r="AR358" s="523"/>
      <c r="AS358" s="523"/>
      <c r="AT358" s="523"/>
      <c r="AU358" s="523"/>
      <c r="AV358" s="523"/>
      <c r="AW358" s="523"/>
      <c r="AX358" s="523"/>
      <c r="AY358" s="523"/>
      <c r="AZ358" s="523"/>
      <c r="BA358" s="523"/>
      <c r="BB358" s="523"/>
      <c r="BC358" s="523"/>
      <c r="BD358" s="523"/>
      <c r="BE358" s="523"/>
      <c r="BF358" s="523"/>
      <c r="BG358" s="523"/>
      <c r="BH358" s="523"/>
      <c r="BI358" s="523"/>
      <c r="BJ358" s="523"/>
      <c r="BK358" s="523"/>
      <c r="BL358" s="523"/>
      <c r="BM358" s="523"/>
      <c r="BN358" s="523"/>
      <c r="BO358" s="523"/>
      <c r="BP358" s="523"/>
      <c r="BQ358" s="523"/>
      <c r="BR358" s="523"/>
      <c r="BS358" s="523"/>
      <c r="BT358" s="523"/>
      <c r="BU358" s="523"/>
      <c r="BV358" s="523"/>
      <c r="BW358" s="523"/>
      <c r="BX358" s="523"/>
      <c r="BY358" s="523"/>
      <c r="BZ358" s="523"/>
      <c r="CA358" s="523"/>
      <c r="CB358" s="523"/>
      <c r="CC358" s="523"/>
      <c r="CD358" s="523"/>
      <c r="CE358" s="523"/>
      <c r="CF358" s="523"/>
      <c r="CG358" s="523"/>
      <c r="CH358" s="523"/>
      <c r="CI358" s="523"/>
      <c r="CJ358" s="523"/>
      <c r="CK358" s="523"/>
      <c r="CL358" s="523"/>
      <c r="CM358" s="523"/>
      <c r="CN358" s="523"/>
      <c r="CO358" s="523"/>
      <c r="CP358" s="523"/>
      <c r="CQ358" s="523"/>
      <c r="CR358" s="523"/>
      <c r="CS358" s="523"/>
      <c r="CT358" s="523"/>
      <c r="CU358" s="523"/>
      <c r="CV358" s="523"/>
      <c r="CW358" s="523"/>
      <c r="CX358" s="523"/>
      <c r="CY358" s="523"/>
      <c r="CZ358" s="523"/>
      <c r="DA358" s="523"/>
      <c r="DB358" s="523"/>
      <c r="DC358" s="523"/>
      <c r="DD358" s="523"/>
      <c r="DE358" s="523"/>
      <c r="DF358" s="523"/>
      <c r="DG358" s="523"/>
      <c r="DH358" s="523"/>
      <c r="DI358" s="523"/>
      <c r="DJ358" s="523"/>
      <c r="DK358" s="523"/>
      <c r="DL358" s="523"/>
      <c r="DM358" s="523"/>
      <c r="DN358" s="523"/>
      <c r="DO358" s="523"/>
      <c r="DP358" s="523"/>
      <c r="DQ358" s="523"/>
      <c r="DR358" s="523"/>
      <c r="DS358" s="523"/>
      <c r="DT358" s="523"/>
      <c r="DU358" s="523"/>
      <c r="DV358" s="523"/>
      <c r="DW358" s="523"/>
      <c r="DX358" s="523"/>
      <c r="DY358" s="523"/>
      <c r="DZ358" s="523"/>
      <c r="EA358" s="523"/>
      <c r="EB358" s="523"/>
      <c r="EC358" s="523"/>
      <c r="ED358" s="523"/>
      <c r="EE358" s="523"/>
      <c r="EF358" s="523"/>
      <c r="EG358" s="523"/>
      <c r="EH358" s="523"/>
      <c r="EI358" s="523"/>
      <c r="EJ358" s="523"/>
      <c r="EK358" s="523"/>
      <c r="EL358" s="523"/>
      <c r="EM358" s="523"/>
      <c r="EN358" s="523"/>
      <c r="EO358" s="523"/>
      <c r="EP358" s="523"/>
      <c r="EQ358" s="523"/>
      <c r="ER358" s="523"/>
      <c r="ES358" s="523"/>
      <c r="ET358" s="523"/>
      <c r="EU358" s="523"/>
      <c r="EV358" s="523"/>
      <c r="EW358" s="523"/>
      <c r="EX358" s="523"/>
      <c r="EY358" s="523"/>
      <c r="EZ358" s="523"/>
      <c r="FA358" s="523"/>
      <c r="FB358" s="523"/>
      <c r="FC358" s="523"/>
      <c r="FD358" s="523"/>
      <c r="FE358" s="523"/>
      <c r="FF358" s="523"/>
      <c r="FG358" s="523"/>
      <c r="FH358" s="523"/>
      <c r="FI358" s="523"/>
      <c r="FJ358" s="523"/>
      <c r="FK358" s="523"/>
      <c r="FL358" s="523"/>
      <c r="FM358" s="523"/>
    </row>
    <row r="359" spans="1:169" s="1586" customFormat="1" ht="13.2">
      <c r="A359" s="523"/>
      <c r="B359" s="1585"/>
      <c r="C359" s="523"/>
      <c r="D359" s="523"/>
      <c r="E359" s="523"/>
      <c r="F359" s="524"/>
      <c r="G359" s="523"/>
      <c r="H359" s="523"/>
      <c r="I359" s="523"/>
      <c r="J359" s="523"/>
      <c r="K359" s="523"/>
      <c r="L359" s="1585"/>
      <c r="M359" s="1585"/>
      <c r="N359" s="1585"/>
      <c r="O359" s="523"/>
      <c r="P359" s="607"/>
      <c r="Q359" s="1595"/>
      <c r="R359" s="1595"/>
      <c r="S359" s="1595"/>
      <c r="T359" s="607"/>
      <c r="U359" s="607"/>
      <c r="V359" s="607"/>
      <c r="W359" s="523"/>
      <c r="X359" s="523"/>
      <c r="Y359" s="523"/>
      <c r="Z359" s="523"/>
      <c r="AA359" s="523"/>
      <c r="AB359" s="523"/>
      <c r="AC359" s="523"/>
      <c r="AD359" s="523"/>
      <c r="AE359" s="523"/>
      <c r="AF359" s="523"/>
      <c r="AG359" s="523"/>
      <c r="AH359" s="523"/>
      <c r="AI359" s="523"/>
      <c r="AJ359" s="523"/>
      <c r="AK359" s="523"/>
      <c r="AL359" s="523"/>
      <c r="AM359" s="523"/>
      <c r="AN359" s="523"/>
      <c r="AO359" s="523"/>
      <c r="AP359" s="523"/>
      <c r="AQ359" s="523"/>
      <c r="AR359" s="523"/>
      <c r="AS359" s="523"/>
      <c r="AT359" s="523"/>
      <c r="AU359" s="523"/>
      <c r="AV359" s="523"/>
      <c r="AW359" s="523"/>
      <c r="AX359" s="523"/>
      <c r="AY359" s="523"/>
      <c r="AZ359" s="523"/>
      <c r="BA359" s="523"/>
      <c r="BB359" s="523"/>
      <c r="BC359" s="523"/>
      <c r="BD359" s="523"/>
      <c r="BE359" s="523"/>
      <c r="BF359" s="523"/>
      <c r="BG359" s="523"/>
      <c r="BH359" s="523"/>
      <c r="BI359" s="523"/>
      <c r="BJ359" s="523"/>
      <c r="BK359" s="523"/>
      <c r="BL359" s="523"/>
      <c r="BM359" s="523"/>
      <c r="BN359" s="523"/>
      <c r="BO359" s="523"/>
      <c r="BP359" s="523"/>
      <c r="BQ359" s="523"/>
      <c r="BR359" s="523"/>
      <c r="BS359" s="523"/>
      <c r="BT359" s="523"/>
      <c r="BU359" s="523"/>
      <c r="BV359" s="523"/>
      <c r="BW359" s="523"/>
      <c r="BX359" s="523"/>
      <c r="BY359" s="523"/>
      <c r="BZ359" s="523"/>
      <c r="CA359" s="523"/>
      <c r="CB359" s="523"/>
      <c r="CC359" s="523"/>
      <c r="CD359" s="523"/>
      <c r="CE359" s="523"/>
      <c r="CF359" s="523"/>
      <c r="CG359" s="523"/>
      <c r="CH359" s="523"/>
      <c r="CI359" s="523"/>
      <c r="CJ359" s="523"/>
      <c r="CK359" s="523"/>
      <c r="CL359" s="523"/>
      <c r="CM359" s="523"/>
      <c r="CN359" s="523"/>
      <c r="CO359" s="523"/>
      <c r="CP359" s="523"/>
      <c r="CQ359" s="523"/>
      <c r="CR359" s="523"/>
      <c r="CS359" s="523"/>
      <c r="CT359" s="523"/>
      <c r="CU359" s="523"/>
      <c r="CV359" s="523"/>
      <c r="CW359" s="523"/>
      <c r="CX359" s="523"/>
      <c r="CY359" s="523"/>
      <c r="CZ359" s="523"/>
      <c r="DA359" s="523"/>
      <c r="DB359" s="523"/>
      <c r="DC359" s="523"/>
      <c r="DD359" s="523"/>
      <c r="DE359" s="523"/>
      <c r="DF359" s="523"/>
      <c r="DG359" s="523"/>
      <c r="DH359" s="523"/>
      <c r="DI359" s="523"/>
      <c r="DJ359" s="523"/>
      <c r="DK359" s="523"/>
      <c r="DL359" s="523"/>
      <c r="DM359" s="523"/>
      <c r="DN359" s="523"/>
      <c r="DO359" s="523"/>
      <c r="DP359" s="523"/>
      <c r="DQ359" s="523"/>
      <c r="DR359" s="523"/>
      <c r="DS359" s="523"/>
      <c r="DT359" s="523"/>
      <c r="DU359" s="523"/>
      <c r="DV359" s="523"/>
      <c r="DW359" s="523"/>
      <c r="DX359" s="523"/>
      <c r="DY359" s="523"/>
      <c r="DZ359" s="523"/>
      <c r="EA359" s="523"/>
      <c r="EB359" s="523"/>
      <c r="EC359" s="523"/>
      <c r="ED359" s="523"/>
      <c r="EE359" s="523"/>
      <c r="EF359" s="523"/>
      <c r="EG359" s="523"/>
      <c r="EH359" s="523"/>
      <c r="EI359" s="523"/>
      <c r="EJ359" s="523"/>
      <c r="EK359" s="523"/>
      <c r="EL359" s="523"/>
      <c r="EM359" s="523"/>
      <c r="EN359" s="523"/>
      <c r="EO359" s="523"/>
      <c r="EP359" s="523"/>
      <c r="EQ359" s="523"/>
      <c r="ER359" s="523"/>
      <c r="ES359" s="523"/>
      <c r="ET359" s="523"/>
      <c r="EU359" s="523"/>
      <c r="EV359" s="523"/>
      <c r="EW359" s="523"/>
      <c r="EX359" s="523"/>
      <c r="EY359" s="523"/>
      <c r="EZ359" s="523"/>
      <c r="FA359" s="523"/>
      <c r="FB359" s="523"/>
      <c r="FC359" s="523"/>
      <c r="FD359" s="523"/>
      <c r="FE359" s="523"/>
      <c r="FF359" s="523"/>
      <c r="FG359" s="523"/>
      <c r="FH359" s="523"/>
      <c r="FI359" s="523"/>
      <c r="FJ359" s="523"/>
      <c r="FK359" s="523"/>
      <c r="FL359" s="523"/>
      <c r="FM359" s="523"/>
    </row>
    <row r="360" spans="1:169" s="1586" customFormat="1" ht="13.2">
      <c r="A360" s="523"/>
      <c r="B360" s="1585"/>
      <c r="C360" s="523"/>
      <c r="D360" s="523"/>
      <c r="E360" s="523"/>
      <c r="F360" s="524"/>
      <c r="G360" s="523"/>
      <c r="H360" s="523"/>
      <c r="I360" s="523"/>
      <c r="J360" s="523"/>
      <c r="K360" s="523"/>
      <c r="L360" s="1585"/>
      <c r="M360" s="1585"/>
      <c r="N360" s="1585"/>
      <c r="O360" s="523"/>
      <c r="P360" s="607"/>
      <c r="Q360" s="1595"/>
      <c r="R360" s="1595"/>
      <c r="S360" s="1595"/>
      <c r="T360" s="607"/>
      <c r="U360" s="607"/>
      <c r="V360" s="607"/>
      <c r="W360" s="523"/>
      <c r="X360" s="523"/>
      <c r="Y360" s="523"/>
      <c r="Z360" s="523"/>
      <c r="AA360" s="523"/>
      <c r="AB360" s="523"/>
      <c r="AC360" s="523"/>
      <c r="AD360" s="523"/>
      <c r="AE360" s="523"/>
      <c r="AF360" s="523"/>
      <c r="AG360" s="523"/>
      <c r="AH360" s="523"/>
      <c r="AI360" s="523"/>
      <c r="AJ360" s="523"/>
      <c r="AK360" s="523"/>
      <c r="AL360" s="523"/>
      <c r="AM360" s="523"/>
      <c r="AN360" s="523"/>
      <c r="AO360" s="523"/>
      <c r="AP360" s="523"/>
      <c r="AQ360" s="523"/>
      <c r="AR360" s="523"/>
      <c r="AS360" s="523"/>
      <c r="AT360" s="523"/>
      <c r="AU360" s="523"/>
      <c r="AV360" s="523"/>
      <c r="AW360" s="523"/>
      <c r="AX360" s="523"/>
      <c r="AY360" s="523"/>
      <c r="AZ360" s="523"/>
      <c r="BA360" s="523"/>
      <c r="BB360" s="523"/>
      <c r="BC360" s="523"/>
      <c r="BD360" s="523"/>
      <c r="BE360" s="523"/>
      <c r="BF360" s="523"/>
      <c r="BG360" s="523"/>
      <c r="BH360" s="523"/>
      <c r="BI360" s="523"/>
      <c r="BJ360" s="523"/>
      <c r="BK360" s="523"/>
      <c r="BL360" s="523"/>
      <c r="BM360" s="523"/>
      <c r="BN360" s="523"/>
      <c r="BO360" s="523"/>
      <c r="BP360" s="523"/>
      <c r="BQ360" s="523"/>
      <c r="BR360" s="523"/>
      <c r="BS360" s="523"/>
      <c r="BT360" s="523"/>
      <c r="BU360" s="523"/>
      <c r="BV360" s="523"/>
      <c r="BW360" s="523"/>
      <c r="BX360" s="523"/>
      <c r="BY360" s="523"/>
      <c r="BZ360" s="523"/>
      <c r="CA360" s="523"/>
      <c r="CB360" s="523"/>
      <c r="CC360" s="523"/>
      <c r="CD360" s="523"/>
      <c r="CE360" s="523"/>
      <c r="CF360" s="523"/>
      <c r="CG360" s="523"/>
      <c r="CH360" s="523"/>
      <c r="CI360" s="523"/>
      <c r="CJ360" s="523"/>
      <c r="CK360" s="523"/>
      <c r="CL360" s="523"/>
      <c r="CM360" s="523"/>
      <c r="CN360" s="523"/>
      <c r="CO360" s="523"/>
      <c r="CP360" s="523"/>
      <c r="CQ360" s="523"/>
      <c r="CR360" s="523"/>
      <c r="CS360" s="523"/>
      <c r="CT360" s="523"/>
      <c r="CU360" s="523"/>
      <c r="CV360" s="523"/>
      <c r="CW360" s="523"/>
      <c r="CX360" s="523"/>
      <c r="CY360" s="523"/>
      <c r="CZ360" s="523"/>
      <c r="DA360" s="523"/>
      <c r="DB360" s="523"/>
      <c r="DC360" s="523"/>
      <c r="DD360" s="523"/>
      <c r="DE360" s="523"/>
      <c r="DF360" s="523"/>
      <c r="DG360" s="523"/>
      <c r="DH360" s="523"/>
      <c r="DI360" s="523"/>
      <c r="DJ360" s="523"/>
      <c r="DK360" s="523"/>
      <c r="DL360" s="523"/>
      <c r="DM360" s="523"/>
      <c r="DN360" s="523"/>
      <c r="DO360" s="523"/>
      <c r="DP360" s="523"/>
      <c r="DQ360" s="523"/>
      <c r="DR360" s="523"/>
      <c r="DS360" s="523"/>
      <c r="DT360" s="523"/>
      <c r="DU360" s="523"/>
      <c r="DV360" s="523"/>
      <c r="DW360" s="523"/>
      <c r="DX360" s="523"/>
      <c r="DY360" s="523"/>
      <c r="DZ360" s="523"/>
      <c r="EA360" s="523"/>
      <c r="EB360" s="523"/>
      <c r="EC360" s="523"/>
      <c r="ED360" s="523"/>
      <c r="EE360" s="523"/>
      <c r="EF360" s="523"/>
      <c r="EG360" s="523"/>
      <c r="EH360" s="523"/>
      <c r="EI360" s="523"/>
      <c r="EJ360" s="523"/>
      <c r="EK360" s="523"/>
      <c r="EL360" s="523"/>
      <c r="EM360" s="523"/>
      <c r="EN360" s="523"/>
      <c r="EO360" s="523"/>
      <c r="EP360" s="523"/>
      <c r="EQ360" s="523"/>
      <c r="ER360" s="523"/>
      <c r="ES360" s="523"/>
      <c r="ET360" s="523"/>
      <c r="EU360" s="523"/>
      <c r="EV360" s="523"/>
      <c r="EW360" s="523"/>
      <c r="EX360" s="523"/>
      <c r="EY360" s="523"/>
      <c r="EZ360" s="523"/>
      <c r="FA360" s="523"/>
      <c r="FB360" s="523"/>
      <c r="FC360" s="523"/>
      <c r="FD360" s="523"/>
      <c r="FE360" s="523"/>
      <c r="FF360" s="523"/>
      <c r="FG360" s="523"/>
      <c r="FH360" s="523"/>
      <c r="FI360" s="523"/>
      <c r="FJ360" s="523"/>
      <c r="FK360" s="523"/>
      <c r="FL360" s="523"/>
      <c r="FM360" s="523"/>
    </row>
    <row r="361" spans="1:169" ht="13.2">
      <c r="P361" s="607"/>
      <c r="Q361" s="1595"/>
      <c r="R361" s="1595"/>
      <c r="S361" s="1595"/>
      <c r="T361" s="607"/>
      <c r="U361" s="607"/>
      <c r="V361" s="607"/>
    </row>
    <row r="362" spans="1:169" ht="13.2">
      <c r="P362" s="607"/>
      <c r="Q362" s="1595"/>
      <c r="R362" s="1595"/>
      <c r="S362" s="1595"/>
      <c r="T362" s="607"/>
      <c r="U362" s="607"/>
      <c r="V362" s="607"/>
    </row>
    <row r="363" spans="1:169" ht="13.2">
      <c r="P363" s="607"/>
      <c r="Q363" s="1595"/>
      <c r="R363" s="1595"/>
      <c r="S363" s="1595"/>
      <c r="T363" s="607"/>
      <c r="U363" s="607"/>
      <c r="V363" s="607"/>
    </row>
    <row r="364" spans="1:169" ht="13.2">
      <c r="P364" s="607"/>
      <c r="Q364" s="1595"/>
      <c r="R364" s="1595"/>
      <c r="S364" s="1595"/>
      <c r="T364" s="607"/>
      <c r="U364" s="607"/>
      <c r="V364" s="607"/>
    </row>
    <row r="365" spans="1:169" ht="13.2">
      <c r="P365" s="607"/>
      <c r="Q365" s="1595"/>
      <c r="R365" s="1595"/>
      <c r="S365" s="1595"/>
      <c r="T365" s="607"/>
      <c r="U365" s="607"/>
      <c r="V365" s="607"/>
    </row>
    <row r="366" spans="1:169" ht="13.2">
      <c r="P366" s="607"/>
      <c r="Q366" s="1595"/>
      <c r="R366" s="1595"/>
      <c r="S366" s="1595"/>
      <c r="T366" s="607"/>
      <c r="U366" s="607"/>
      <c r="V366" s="607"/>
    </row>
    <row r="367" spans="1:169" ht="13.2">
      <c r="P367" s="607"/>
      <c r="Q367" s="1595"/>
      <c r="R367" s="1595"/>
      <c r="S367" s="1595"/>
      <c r="T367" s="607"/>
      <c r="U367" s="607"/>
      <c r="V367" s="607"/>
    </row>
    <row r="368" spans="1:169" ht="13.2">
      <c r="P368" s="607"/>
      <c r="Q368" s="1595"/>
      <c r="R368" s="1595"/>
      <c r="S368" s="1595"/>
      <c r="T368" s="607"/>
      <c r="U368" s="607"/>
      <c r="V368" s="607"/>
    </row>
    <row r="369" spans="16:22" ht="13.2">
      <c r="P369" s="607"/>
      <c r="Q369" s="1595"/>
      <c r="R369" s="1595"/>
      <c r="S369" s="1595"/>
      <c r="T369" s="607"/>
      <c r="U369" s="607"/>
      <c r="V369" s="607"/>
    </row>
    <row r="370" spans="16:22" ht="13.2">
      <c r="P370" s="607"/>
      <c r="Q370" s="1595"/>
      <c r="R370" s="1595"/>
      <c r="S370" s="1595"/>
      <c r="T370" s="607"/>
      <c r="U370" s="607"/>
      <c r="V370" s="607"/>
    </row>
    <row r="371" spans="16:22" ht="13.2">
      <c r="P371" s="607"/>
      <c r="Q371" s="1595"/>
      <c r="R371" s="1595"/>
      <c r="S371" s="1595"/>
      <c r="T371" s="607"/>
      <c r="U371" s="607"/>
      <c r="V371" s="607"/>
    </row>
    <row r="372" spans="16:22" ht="13.2">
      <c r="P372" s="607"/>
      <c r="Q372" s="1595"/>
      <c r="R372" s="1595"/>
      <c r="S372" s="1595"/>
      <c r="T372" s="607"/>
      <c r="U372" s="607"/>
      <c r="V372" s="607"/>
    </row>
    <row r="373" spans="16:22" ht="13.2">
      <c r="P373" s="607"/>
      <c r="Q373" s="1595"/>
      <c r="R373" s="1595"/>
      <c r="S373" s="1595"/>
      <c r="T373" s="607"/>
      <c r="U373" s="607"/>
      <c r="V373" s="607"/>
    </row>
    <row r="374" spans="16:22" ht="13.2">
      <c r="P374" s="607"/>
      <c r="Q374" s="1595"/>
      <c r="R374" s="1595"/>
      <c r="S374" s="1595"/>
      <c r="T374" s="607"/>
      <c r="U374" s="607"/>
    </row>
    <row r="375" spans="16:22" ht="13.2">
      <c r="P375" s="607"/>
      <c r="Q375" s="1595"/>
      <c r="R375" s="1595"/>
      <c r="S375" s="1595"/>
      <c r="T375" s="607"/>
      <c r="U375" s="607"/>
    </row>
    <row r="376" spans="16:22" ht="13.2">
      <c r="P376" s="607"/>
      <c r="Q376" s="1595"/>
      <c r="R376" s="1595"/>
      <c r="S376" s="1595"/>
      <c r="T376" s="607"/>
      <c r="U376" s="607"/>
    </row>
    <row r="377" spans="16:22" ht="13.2">
      <c r="Q377" s="1595"/>
      <c r="R377" s="1595"/>
      <c r="S377" s="1595"/>
      <c r="T377" s="607"/>
      <c r="U377" s="607"/>
    </row>
    <row r="378" spans="16:22" ht="13.2">
      <c r="Q378" s="1595"/>
      <c r="R378" s="1595"/>
      <c r="S378" s="1595"/>
      <c r="T378" s="607"/>
      <c r="U378" s="607"/>
    </row>
    <row r="379" spans="16:22" ht="13.2">
      <c r="Q379" s="1595"/>
      <c r="R379" s="1595"/>
      <c r="S379" s="1595"/>
    </row>
    <row r="380" spans="16:22" ht="13.2">
      <c r="Q380" s="1595"/>
      <c r="R380" s="1595"/>
      <c r="S380" s="1595"/>
    </row>
    <row r="381" spans="16:22" ht="13.2">
      <c r="Q381" s="1595"/>
      <c r="R381" s="1595"/>
      <c r="S381" s="1595"/>
    </row>
    <row r="382" spans="16:22" ht="13.2">
      <c r="Q382" s="1595"/>
      <c r="R382" s="1595"/>
      <c r="S382" s="1595"/>
    </row>
    <row r="383" spans="16:22" ht="13.2">
      <c r="Q383" s="1595"/>
      <c r="R383" s="1595"/>
      <c r="S383" s="1595"/>
    </row>
    <row r="384" spans="16:22" ht="13.2">
      <c r="Q384" s="1595"/>
      <c r="R384" s="1595"/>
      <c r="S384" s="1595"/>
    </row>
    <row r="385" spans="17:19" ht="13.2">
      <c r="Q385" s="1595"/>
      <c r="R385" s="1595"/>
      <c r="S385" s="1595"/>
    </row>
    <row r="386" spans="17:19" ht="13.2">
      <c r="Q386" s="1595"/>
      <c r="R386" s="1595"/>
      <c r="S386" s="1595"/>
    </row>
    <row r="387" spans="17:19" ht="13.2">
      <c r="Q387" s="1595"/>
      <c r="R387" s="1595"/>
      <c r="S387" s="1595"/>
    </row>
    <row r="388" spans="17:19" ht="13.2">
      <c r="Q388" s="1595"/>
      <c r="R388" s="1595"/>
      <c r="S388" s="1595"/>
    </row>
    <row r="389" spans="17:19" ht="13.2">
      <c r="Q389" s="1595"/>
      <c r="R389" s="1595"/>
      <c r="S389" s="1595"/>
    </row>
    <row r="390" spans="17:19" ht="13.2">
      <c r="Q390" s="1595"/>
      <c r="R390" s="1595"/>
      <c r="S390" s="1595"/>
    </row>
    <row r="391" spans="17:19" ht="13.2">
      <c r="Q391" s="1595"/>
      <c r="R391" s="1595"/>
      <c r="S391" s="1595"/>
    </row>
    <row r="392" spans="17:19" ht="13.2">
      <c r="Q392" s="1595"/>
      <c r="R392" s="1595"/>
      <c r="S392" s="1595"/>
    </row>
    <row r="393" spans="17:19" ht="13.2">
      <c r="Q393" s="1595"/>
      <c r="R393" s="1595"/>
      <c r="S393" s="1595"/>
    </row>
    <row r="394" spans="17:19" ht="13.2">
      <c r="Q394" s="1595"/>
      <c r="R394" s="1595"/>
      <c r="S394" s="1595"/>
    </row>
    <row r="395" spans="17:19" ht="13.2">
      <c r="Q395" s="1595"/>
      <c r="R395" s="1595"/>
      <c r="S395" s="1595"/>
    </row>
    <row r="396" spans="17:19" ht="13.2">
      <c r="Q396" s="1595"/>
      <c r="R396" s="1595"/>
      <c r="S396" s="1595"/>
    </row>
    <row r="397" spans="17:19" ht="13.2">
      <c r="Q397" s="1595"/>
      <c r="R397" s="1595"/>
      <c r="S397" s="1595"/>
    </row>
    <row r="398" spans="17:19" ht="13.2">
      <c r="Q398" s="1595"/>
      <c r="R398" s="1595"/>
      <c r="S398" s="1595"/>
    </row>
    <row r="399" spans="17:19" ht="13.2">
      <c r="Q399" s="1595"/>
      <c r="R399" s="1595"/>
      <c r="S399" s="1595"/>
    </row>
    <row r="400" spans="17:19" ht="13.2">
      <c r="Q400" s="1595"/>
      <c r="R400" s="1595"/>
      <c r="S400" s="1595"/>
    </row>
    <row r="401" spans="17:19" ht="13.2">
      <c r="Q401" s="1595"/>
      <c r="R401" s="1595"/>
      <c r="S401" s="1595"/>
    </row>
    <row r="402" spans="17:19" ht="13.2">
      <c r="Q402" s="1595"/>
      <c r="R402" s="1595"/>
      <c r="S402" s="1595"/>
    </row>
    <row r="403" spans="17:19" ht="13.2">
      <c r="Q403" s="1595"/>
      <c r="R403" s="1595"/>
      <c r="S403" s="1595"/>
    </row>
    <row r="404" spans="17:19" ht="13.2">
      <c r="Q404" s="1595"/>
      <c r="R404" s="1595"/>
      <c r="S404" s="1595"/>
    </row>
    <row r="405" spans="17:19" ht="13.2">
      <c r="Q405" s="1595"/>
      <c r="R405" s="1595"/>
      <c r="S405" s="1595"/>
    </row>
    <row r="406" spans="17:19" ht="13.2">
      <c r="Q406" s="1595"/>
      <c r="R406" s="1595"/>
      <c r="S406" s="1595"/>
    </row>
    <row r="407" spans="17:19" ht="13.2">
      <c r="Q407" s="1595"/>
      <c r="R407" s="1595"/>
      <c r="S407" s="1595"/>
    </row>
    <row r="408" spans="17:19" ht="13.2">
      <c r="Q408" s="1595"/>
      <c r="R408" s="1595"/>
      <c r="S408" s="1595"/>
    </row>
    <row r="409" spans="17:19" ht="13.2">
      <c r="Q409" s="1595"/>
      <c r="R409" s="1595"/>
      <c r="S409" s="1595"/>
    </row>
    <row r="410" spans="17:19" ht="13.2">
      <c r="Q410" s="1595"/>
      <c r="R410" s="1595"/>
      <c r="S410" s="1595"/>
    </row>
    <row r="411" spans="17:19" ht="13.2">
      <c r="Q411" s="1595"/>
      <c r="R411" s="1595"/>
      <c r="S411" s="1595"/>
    </row>
    <row r="412" spans="17:19" ht="13.2">
      <c r="Q412" s="1595"/>
      <c r="R412" s="1595"/>
      <c r="S412" s="1595"/>
    </row>
    <row r="413" spans="17:19" ht="13.2">
      <c r="Q413" s="1595"/>
      <c r="R413" s="1595"/>
      <c r="S413" s="1595"/>
    </row>
    <row r="414" spans="17:19" ht="13.2">
      <c r="Q414" s="1595"/>
      <c r="R414" s="1595"/>
      <c r="S414" s="1595"/>
    </row>
    <row r="415" spans="17:19" ht="13.2">
      <c r="Q415" s="1595"/>
      <c r="R415" s="1595"/>
      <c r="S415" s="1595"/>
    </row>
    <row r="416" spans="17:19" ht="13.2">
      <c r="Q416" s="1595"/>
      <c r="R416" s="1595"/>
      <c r="S416" s="1595"/>
    </row>
    <row r="417" spans="17:19" ht="13.2">
      <c r="Q417" s="1595"/>
      <c r="R417" s="1595"/>
      <c r="S417" s="1595"/>
    </row>
    <row r="418" spans="17:19" ht="13.2">
      <c r="Q418" s="1595"/>
      <c r="R418" s="1595"/>
      <c r="S418" s="1595"/>
    </row>
    <row r="419" spans="17:19" ht="13.2">
      <c r="Q419" s="1595"/>
      <c r="R419" s="1595"/>
      <c r="S419" s="1595"/>
    </row>
    <row r="420" spans="17:19" ht="13.2">
      <c r="Q420" s="1595"/>
      <c r="R420" s="1595"/>
      <c r="S420" s="1595"/>
    </row>
    <row r="421" spans="17:19" ht="13.2">
      <c r="Q421" s="1595"/>
      <c r="R421" s="1595"/>
      <c r="S421" s="1595"/>
    </row>
    <row r="422" spans="17:19" ht="13.2">
      <c r="Q422" s="1595"/>
      <c r="R422" s="1595"/>
      <c r="S422" s="1595"/>
    </row>
    <row r="423" spans="17:19" ht="13.2">
      <c r="Q423" s="1595"/>
      <c r="R423" s="1595"/>
      <c r="S423" s="1595"/>
    </row>
    <row r="424" spans="17:19" ht="13.2">
      <c r="Q424" s="1595"/>
      <c r="R424" s="1595"/>
      <c r="S424" s="1595"/>
    </row>
    <row r="425" spans="17:19" ht="13.2">
      <c r="Q425" s="1595"/>
      <c r="R425" s="1595"/>
      <c r="S425" s="1595"/>
    </row>
    <row r="426" spans="17:19" ht="13.2">
      <c r="Q426" s="1595"/>
      <c r="R426" s="1595"/>
      <c r="S426" s="1595"/>
    </row>
    <row r="427" spans="17:19" ht="13.2">
      <c r="Q427" s="1595"/>
      <c r="R427" s="1595"/>
      <c r="S427" s="1595"/>
    </row>
    <row r="428" spans="17:19" ht="13.2">
      <c r="Q428" s="1595"/>
      <c r="R428" s="1595"/>
      <c r="S428" s="1595"/>
    </row>
    <row r="429" spans="17:19" ht="13.2">
      <c r="Q429" s="1595"/>
      <c r="R429" s="1595"/>
      <c r="S429" s="1595"/>
    </row>
    <row r="430" spans="17:19" ht="13.2">
      <c r="Q430" s="1595"/>
      <c r="R430" s="1595"/>
      <c r="S430" s="1595"/>
    </row>
    <row r="431" spans="17:19" ht="13.2">
      <c r="Q431" s="1595"/>
      <c r="R431" s="1595"/>
      <c r="S431" s="1595"/>
    </row>
    <row r="432" spans="17:19" ht="13.2">
      <c r="Q432" s="1595"/>
      <c r="R432" s="1595"/>
      <c r="S432" s="1595"/>
    </row>
    <row r="433" spans="17:19" ht="13.2">
      <c r="Q433" s="1595"/>
      <c r="R433" s="1595"/>
      <c r="S433" s="1595"/>
    </row>
    <row r="434" spans="17:19" ht="13.2">
      <c r="Q434" s="1595"/>
      <c r="R434" s="1595"/>
      <c r="S434" s="1595"/>
    </row>
    <row r="435" spans="17:19" ht="13.2">
      <c r="Q435" s="1595"/>
      <c r="R435" s="1595"/>
      <c r="S435" s="1595"/>
    </row>
    <row r="436" spans="17:19" ht="13.2">
      <c r="Q436" s="1595"/>
      <c r="R436" s="1595"/>
      <c r="S436" s="1595"/>
    </row>
    <row r="437" spans="17:19" ht="13.2">
      <c r="Q437" s="1595"/>
      <c r="R437" s="1595"/>
      <c r="S437" s="1595"/>
    </row>
    <row r="438" spans="17:19" ht="13.2">
      <c r="Q438" s="1595"/>
      <c r="R438" s="1595"/>
      <c r="S438" s="1595"/>
    </row>
    <row r="439" spans="17:19" ht="13.2">
      <c r="Q439" s="1595"/>
      <c r="R439" s="1595"/>
      <c r="S439" s="1595"/>
    </row>
    <row r="440" spans="17:19" ht="13.2">
      <c r="Q440" s="1595"/>
      <c r="R440" s="1595"/>
      <c r="S440" s="1595"/>
    </row>
    <row r="441" spans="17:19" ht="13.2">
      <c r="Q441" s="1595"/>
      <c r="R441" s="1595"/>
      <c r="S441" s="1595"/>
    </row>
    <row r="442" spans="17:19" ht="13.2">
      <c r="Q442" s="1595"/>
      <c r="R442" s="1595"/>
      <c r="S442" s="1595"/>
    </row>
    <row r="443" spans="17:19" ht="13.2">
      <c r="Q443" s="1595"/>
      <c r="R443" s="1595"/>
      <c r="S443" s="1595"/>
    </row>
    <row r="444" spans="17:19" ht="13.2">
      <c r="Q444" s="1595"/>
      <c r="R444" s="1595"/>
      <c r="S444" s="1595"/>
    </row>
    <row r="445" spans="17:19" ht="13.2">
      <c r="Q445" s="1595"/>
      <c r="R445" s="1595"/>
      <c r="S445" s="1595"/>
    </row>
    <row r="446" spans="17:19" ht="13.2">
      <c r="Q446" s="1595"/>
      <c r="R446" s="1595"/>
      <c r="S446" s="1595"/>
    </row>
    <row r="447" spans="17:19" ht="13.2">
      <c r="Q447" s="1595"/>
      <c r="R447" s="1595"/>
      <c r="S447" s="1595"/>
    </row>
    <row r="448" spans="17:19" ht="13.2">
      <c r="Q448" s="1595"/>
      <c r="R448" s="1595"/>
      <c r="S448" s="1595"/>
    </row>
    <row r="449" spans="17:19" ht="13.2">
      <c r="Q449" s="1595"/>
      <c r="R449" s="1595"/>
      <c r="S449" s="1595"/>
    </row>
    <row r="450" spans="17:19" ht="13.2">
      <c r="Q450" s="1595"/>
      <c r="R450" s="1595"/>
      <c r="S450" s="1595"/>
    </row>
    <row r="451" spans="17:19" ht="13.2">
      <c r="Q451" s="1595"/>
      <c r="R451" s="1595"/>
      <c r="S451" s="1595"/>
    </row>
    <row r="452" spans="17:19" ht="13.2">
      <c r="Q452" s="1595"/>
      <c r="R452" s="1595"/>
      <c r="S452" s="1595"/>
    </row>
    <row r="453" spans="17:19" ht="13.2">
      <c r="Q453" s="1595"/>
      <c r="R453" s="1595"/>
      <c r="S453" s="1595"/>
    </row>
    <row r="454" spans="17:19" ht="13.2">
      <c r="Q454" s="1595"/>
      <c r="R454" s="1595"/>
      <c r="S454" s="1595"/>
    </row>
    <row r="455" spans="17:19" ht="13.2">
      <c r="Q455" s="1595"/>
      <c r="R455" s="1595"/>
      <c r="S455" s="1595"/>
    </row>
    <row r="456" spans="17:19" ht="13.2">
      <c r="Q456" s="1595"/>
      <c r="R456" s="1595"/>
      <c r="S456" s="1595"/>
    </row>
    <row r="457" spans="17:19" ht="13.2">
      <c r="Q457" s="1595"/>
      <c r="R457" s="1595"/>
      <c r="S457" s="1595"/>
    </row>
    <row r="458" spans="17:19" ht="13.2">
      <c r="Q458" s="1595"/>
      <c r="R458" s="1595"/>
      <c r="S458" s="1595"/>
    </row>
    <row r="459" spans="17:19" ht="13.2">
      <c r="Q459" s="1595"/>
      <c r="R459" s="1595"/>
      <c r="S459" s="1595"/>
    </row>
    <row r="460" spans="17:19" ht="13.2">
      <c r="Q460" s="1595"/>
      <c r="R460" s="1595"/>
      <c r="S460" s="1595"/>
    </row>
    <row r="461" spans="17:19" ht="13.2">
      <c r="Q461" s="1595"/>
      <c r="R461" s="1595"/>
      <c r="S461" s="1595"/>
    </row>
    <row r="462" spans="17:19" ht="13.2">
      <c r="Q462" s="1595"/>
      <c r="R462" s="1595"/>
      <c r="S462" s="1595"/>
    </row>
    <row r="463" spans="17:19" ht="13.2">
      <c r="Q463" s="1595"/>
      <c r="R463" s="1595"/>
      <c r="S463" s="1595"/>
    </row>
    <row r="464" spans="17:19" ht="13.2">
      <c r="Q464" s="1595"/>
      <c r="R464" s="1595"/>
      <c r="S464" s="1595"/>
    </row>
    <row r="465" spans="17:19" ht="13.2">
      <c r="Q465" s="1595"/>
      <c r="R465" s="1595"/>
      <c r="S465" s="1595"/>
    </row>
    <row r="466" spans="17:19" ht="13.2">
      <c r="Q466" s="1595"/>
      <c r="R466" s="1595"/>
      <c r="S466" s="1595"/>
    </row>
    <row r="467" spans="17:19" ht="13.2">
      <c r="Q467" s="1595"/>
      <c r="R467" s="1595"/>
      <c r="S467" s="1595"/>
    </row>
    <row r="468" spans="17:19" ht="13.2">
      <c r="Q468" s="1595"/>
      <c r="R468" s="1595"/>
      <c r="S468" s="1595"/>
    </row>
    <row r="469" spans="17:19" ht="13.2">
      <c r="Q469" s="1595"/>
      <c r="R469" s="1595"/>
      <c r="S469" s="1595"/>
    </row>
    <row r="470" spans="17:19" ht="13.2">
      <c r="Q470" s="1595"/>
      <c r="R470" s="1595"/>
      <c r="S470" s="1595"/>
    </row>
    <row r="471" spans="17:19" ht="13.2">
      <c r="Q471" s="1595"/>
      <c r="R471" s="1595"/>
      <c r="S471" s="1595"/>
    </row>
    <row r="472" spans="17:19" ht="13.2">
      <c r="Q472" s="1595"/>
      <c r="R472" s="1595"/>
      <c r="S472" s="1595"/>
    </row>
    <row r="473" spans="17:19" ht="13.2">
      <c r="Q473" s="1595"/>
      <c r="R473" s="1595"/>
      <c r="S473" s="1595"/>
    </row>
    <row r="474" spans="17:19" ht="13.2">
      <c r="R474" s="1595"/>
    </row>
    <row r="475" spans="17:19" ht="13.2">
      <c r="R475" s="1595"/>
    </row>
    <row r="476" spans="17:19" ht="13.2">
      <c r="R476" s="1595"/>
    </row>
  </sheetData>
  <mergeCells count="9">
    <mergeCell ref="C9:E9"/>
    <mergeCell ref="F9:H9"/>
    <mergeCell ref="I9:K9"/>
    <mergeCell ref="L9:N9"/>
    <mergeCell ref="A1:N1"/>
    <mergeCell ref="A2:N2"/>
    <mergeCell ref="A4:N4"/>
    <mergeCell ref="A5:N5"/>
    <mergeCell ref="A7:N7"/>
  </mergeCells>
  <printOptions horizontalCentered="1"/>
  <pageMargins left="0.2" right="0.21" top="0.59" bottom="0.39370078740157483" header="0.31496062992125984" footer="0.31496062992125984"/>
  <pageSetup paperSize="9" scale="75" orientation="portrait" r:id="rId1"/>
  <headerFooter alignWithMargins="0">
    <oddHeader>&amp;L&amp;"Arial,Gras"DGRH A1-1</oddHeader>
    <oddFooter>&amp;CPage &amp;P</oddFooter>
  </headerFooter>
  <rowBreaks count="1" manualBreakCount="1">
    <brk id="77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Feuil6">
    <tabColor rgb="FFFFFF00"/>
  </sheetPr>
  <dimension ref="A1:AB42"/>
  <sheetViews>
    <sheetView showZeros="0" zoomScale="75" zoomScaleNormal="75" workbookViewId="0">
      <selection activeCell="L18" sqref="L18"/>
    </sheetView>
  </sheetViews>
  <sheetFormatPr baseColWidth="10" defaultColWidth="11.44140625" defaultRowHeight="11.4"/>
  <cols>
    <col min="1" max="1" width="22.109375" style="411" customWidth="1"/>
    <col min="2" max="2" width="11.109375" style="411" customWidth="1"/>
    <col min="3" max="3" width="10.44140625" style="411" customWidth="1"/>
    <col min="4" max="4" width="13" style="411" customWidth="1"/>
    <col min="5" max="5" width="11.109375" style="411" customWidth="1"/>
    <col min="6" max="6" width="11.109375" style="438" customWidth="1"/>
    <col min="7" max="7" width="11.109375" style="411" customWidth="1"/>
    <col min="8" max="8" width="13.88671875" style="411" customWidth="1"/>
    <col min="9" max="12" width="11.109375" style="411" customWidth="1"/>
    <col min="13" max="13" width="4.33203125" style="411" customWidth="1"/>
    <col min="14" max="14" width="11.44140625" style="411"/>
    <col min="15" max="15" width="16" style="411" bestFit="1" customWidth="1"/>
    <col min="16" max="19" width="11.44140625" style="411"/>
    <col min="20" max="20" width="12.5546875" style="411" bestFit="1" customWidth="1"/>
    <col min="21" max="21" width="11.44140625" style="411"/>
    <col min="22" max="22" width="12" style="411" bestFit="1" customWidth="1"/>
    <col min="23" max="16384" width="11.44140625" style="411"/>
  </cols>
  <sheetData>
    <row r="1" spans="1:22" ht="15" customHeight="1">
      <c r="A1" s="804"/>
      <c r="E1" s="2051"/>
      <c r="F1" s="2051"/>
      <c r="G1" s="412"/>
      <c r="H1" s="412"/>
      <c r="I1" s="412"/>
      <c r="J1" s="412"/>
      <c r="K1" s="412"/>
      <c r="L1" s="412"/>
      <c r="M1" s="412"/>
    </row>
    <row r="2" spans="1:22" s="413" customFormat="1" ht="24" customHeight="1">
      <c r="A2" s="1193" t="str">
        <f>'fiche technique'!A16</f>
        <v xml:space="preserve">Bilan de la campagne 2014 de recrutement et d'affectation des maîtres de conférences et des professeurs des universités </v>
      </c>
      <c r="B2" s="384"/>
      <c r="C2" s="384"/>
      <c r="D2" s="384"/>
      <c r="E2" s="384"/>
      <c r="F2" s="384"/>
      <c r="G2" s="385"/>
      <c r="H2" s="385"/>
      <c r="I2" s="385"/>
      <c r="J2" s="385"/>
      <c r="K2" s="385"/>
      <c r="L2" s="385"/>
      <c r="M2" s="412"/>
    </row>
    <row r="3" spans="1:22" s="413" customFormat="1" ht="15" customHeight="1">
      <c r="A3" s="414"/>
      <c r="B3" s="414"/>
      <c r="C3" s="414"/>
      <c r="D3" s="414"/>
      <c r="E3" s="414"/>
      <c r="F3" s="415"/>
      <c r="G3" s="412"/>
      <c r="H3" s="412"/>
      <c r="I3" s="412"/>
      <c r="J3" s="412"/>
      <c r="K3" s="412"/>
      <c r="L3" s="412"/>
      <c r="M3" s="412"/>
    </row>
    <row r="4" spans="1:22" s="413" customFormat="1" ht="20.25" customHeight="1">
      <c r="A4" s="416" t="s">
        <v>556</v>
      </c>
      <c r="B4" s="416"/>
      <c r="C4" s="416"/>
      <c r="D4" s="416"/>
      <c r="E4" s="416"/>
      <c r="F4" s="417"/>
      <c r="G4" s="449"/>
      <c r="H4" s="449"/>
      <c r="I4" s="449"/>
      <c r="J4" s="449"/>
      <c r="K4" s="449"/>
      <c r="L4" s="449"/>
      <c r="M4" s="412"/>
    </row>
    <row r="5" spans="1:22" s="413" customFormat="1" ht="20.25" customHeight="1">
      <c r="A5" s="416" t="s">
        <v>1014</v>
      </c>
      <c r="B5" s="450"/>
      <c r="C5" s="416"/>
      <c r="D5" s="416"/>
      <c r="E5" s="416"/>
      <c r="F5" s="417"/>
      <c r="G5" s="449"/>
      <c r="H5" s="449"/>
      <c r="I5" s="449"/>
      <c r="J5" s="449"/>
      <c r="K5" s="449"/>
      <c r="L5" s="449"/>
      <c r="M5" s="412"/>
    </row>
    <row r="6" spans="1:22" s="413" customFormat="1" ht="15" customHeight="1">
      <c r="A6" s="416"/>
      <c r="B6" s="450"/>
      <c r="C6" s="416"/>
      <c r="D6" s="416"/>
      <c r="E6" s="416"/>
      <c r="F6" s="417"/>
      <c r="G6" s="449"/>
      <c r="H6" s="449"/>
      <c r="I6" s="449"/>
      <c r="J6" s="449"/>
      <c r="K6" s="449"/>
      <c r="L6" s="449"/>
      <c r="M6" s="412"/>
    </row>
    <row r="7" spans="1:22" ht="15" customHeight="1">
      <c r="A7" s="412"/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</row>
    <row r="8" spans="1:22" s="419" customFormat="1" ht="19.5" customHeight="1">
      <c r="A8" s="451" t="s">
        <v>697</v>
      </c>
      <c r="B8" s="451"/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18"/>
      <c r="V8" s="419">
        <f>1598/635</f>
        <v>2.516535433070866</v>
      </c>
    </row>
    <row r="9" spans="1:22" s="419" customFormat="1" ht="15" customHeight="1" thickBot="1">
      <c r="A9" s="451"/>
      <c r="B9" s="451"/>
      <c r="C9" s="451"/>
      <c r="D9" s="451"/>
      <c r="E9" s="451"/>
      <c r="F9" s="451"/>
      <c r="G9" s="451"/>
      <c r="H9" s="451"/>
      <c r="I9" s="451"/>
      <c r="J9" s="451"/>
      <c r="K9" s="451"/>
      <c r="L9" s="451"/>
      <c r="M9" s="418"/>
    </row>
    <row r="10" spans="1:22" s="420" customFormat="1" ht="15.75" customHeight="1" thickBot="1">
      <c r="A10" s="421"/>
      <c r="C10" s="2052" t="s">
        <v>308</v>
      </c>
      <c r="D10" s="2053"/>
      <c r="E10" s="2052" t="s">
        <v>309</v>
      </c>
      <c r="F10" s="2053"/>
      <c r="G10" s="2054" t="s">
        <v>310</v>
      </c>
      <c r="H10" s="2055"/>
      <c r="I10" s="2048" t="s">
        <v>155</v>
      </c>
      <c r="J10" s="2049"/>
      <c r="K10" s="2049"/>
      <c r="L10" s="2050"/>
      <c r="M10" s="412"/>
    </row>
    <row r="11" spans="1:22" ht="63" customHeight="1" thickBot="1">
      <c r="A11" s="1908"/>
      <c r="B11" s="422" t="s">
        <v>311</v>
      </c>
      <c r="C11" s="1909" t="s">
        <v>312</v>
      </c>
      <c r="D11" s="1910" t="s">
        <v>313</v>
      </c>
      <c r="E11" s="1911" t="s">
        <v>312</v>
      </c>
      <c r="F11" s="1910" t="s">
        <v>313</v>
      </c>
      <c r="G11" s="1911" t="s">
        <v>312</v>
      </c>
      <c r="H11" s="1910" t="s">
        <v>313</v>
      </c>
      <c r="I11" s="1912" t="s">
        <v>314</v>
      </c>
      <c r="J11" s="1913" t="s">
        <v>315</v>
      </c>
      <c r="K11" s="1913" t="s">
        <v>316</v>
      </c>
      <c r="L11" s="1914" t="s">
        <v>317</v>
      </c>
      <c r="M11" s="412"/>
    </row>
    <row r="12" spans="1:22" ht="15" customHeight="1">
      <c r="A12" s="857" t="s">
        <v>550</v>
      </c>
      <c r="B12" s="430">
        <v>109</v>
      </c>
      <c r="C12" s="431">
        <v>10</v>
      </c>
      <c r="D12" s="432">
        <v>19</v>
      </c>
      <c r="E12" s="433">
        <v>124</v>
      </c>
      <c r="F12" s="432">
        <v>195</v>
      </c>
      <c r="G12" s="434"/>
      <c r="H12" s="435"/>
      <c r="I12" s="880">
        <f t="shared" ref="I12:J15" si="0">C12+E12+G12</f>
        <v>134</v>
      </c>
      <c r="J12" s="881">
        <f t="shared" si="0"/>
        <v>214</v>
      </c>
      <c r="K12" s="882">
        <f>I12/B12</f>
        <v>1.2293577981651376</v>
      </c>
      <c r="L12" s="883">
        <f>J12/B12</f>
        <v>1.963302752293578</v>
      </c>
      <c r="M12" s="412"/>
      <c r="N12" s="412"/>
      <c r="T12" s="805">
        <f>8/43</f>
        <v>0.18604651162790697</v>
      </c>
    </row>
    <row r="13" spans="1:22" ht="15" customHeight="1">
      <c r="A13" s="429" t="s">
        <v>1012</v>
      </c>
      <c r="B13" s="423">
        <v>605</v>
      </c>
      <c r="C13" s="424">
        <v>23</v>
      </c>
      <c r="D13" s="425">
        <v>44</v>
      </c>
      <c r="E13" s="426">
        <v>182</v>
      </c>
      <c r="F13" s="425">
        <v>250</v>
      </c>
      <c r="G13" s="427">
        <v>1760</v>
      </c>
      <c r="H13" s="428">
        <v>4376</v>
      </c>
      <c r="I13" s="884">
        <f t="shared" si="0"/>
        <v>1965</v>
      </c>
      <c r="J13" s="885">
        <f t="shared" si="0"/>
        <v>4670</v>
      </c>
      <c r="K13" s="886">
        <f>I13/B13</f>
        <v>3.2479338842975207</v>
      </c>
      <c r="L13" s="887">
        <f>J13/B13</f>
        <v>7.7190082644628095</v>
      </c>
      <c r="M13" s="412"/>
      <c r="N13" s="412"/>
    </row>
    <row r="14" spans="1:22" ht="15" customHeight="1">
      <c r="A14" s="429" t="s">
        <v>266</v>
      </c>
      <c r="B14" s="430">
        <v>1291</v>
      </c>
      <c r="C14" s="431">
        <v>63</v>
      </c>
      <c r="D14" s="432">
        <v>211</v>
      </c>
      <c r="E14" s="433">
        <v>578</v>
      </c>
      <c r="F14" s="432">
        <v>1388</v>
      </c>
      <c r="G14" s="434">
        <v>9270</v>
      </c>
      <c r="H14" s="435">
        <v>54476</v>
      </c>
      <c r="I14" s="880">
        <f t="shared" si="0"/>
        <v>9911</v>
      </c>
      <c r="J14" s="881">
        <f t="shared" si="0"/>
        <v>56075</v>
      </c>
      <c r="K14" s="882">
        <f>I14/B14</f>
        <v>7.6769945778466306</v>
      </c>
      <c r="L14" s="883">
        <f>J14/B14</f>
        <v>43.435321456235478</v>
      </c>
      <c r="M14" s="412"/>
      <c r="N14" s="412"/>
      <c r="Q14" s="805">
        <f>1251/9220</f>
        <v>0.13568329718004338</v>
      </c>
    </row>
    <row r="15" spans="1:22" ht="15" customHeight="1" thickBot="1">
      <c r="A15" s="436" t="s">
        <v>155</v>
      </c>
      <c r="B15" s="892">
        <f t="shared" ref="B15:H15" si="1">SUM(B12:B14)</f>
        <v>2005</v>
      </c>
      <c r="C15" s="893">
        <f t="shared" si="1"/>
        <v>96</v>
      </c>
      <c r="D15" s="894">
        <f t="shared" si="1"/>
        <v>274</v>
      </c>
      <c r="E15" s="888">
        <f t="shared" si="1"/>
        <v>884</v>
      </c>
      <c r="F15" s="894">
        <f t="shared" si="1"/>
        <v>1833</v>
      </c>
      <c r="G15" s="888">
        <f t="shared" si="1"/>
        <v>11030</v>
      </c>
      <c r="H15" s="894">
        <f t="shared" si="1"/>
        <v>58852</v>
      </c>
      <c r="I15" s="888">
        <f t="shared" si="0"/>
        <v>12010</v>
      </c>
      <c r="J15" s="889">
        <f t="shared" si="0"/>
        <v>60959</v>
      </c>
      <c r="K15" s="890">
        <f>I15/B15</f>
        <v>5.9900249376558605</v>
      </c>
      <c r="L15" s="891">
        <f>J15/B15</f>
        <v>30.40349127182045</v>
      </c>
      <c r="M15" s="412"/>
      <c r="N15" s="412"/>
    </row>
    <row r="16" spans="1:22" ht="13.2">
      <c r="A16" s="437" t="str">
        <f>'fiche technique'!A11</f>
        <v>Source : DGRH A1-1, A2, GALAXIE (ANTARES-ANTEE), juin 2014</v>
      </c>
      <c r="G16" s="412"/>
      <c r="H16" s="412"/>
      <c r="I16" s="412"/>
      <c r="J16" s="412"/>
      <c r="K16" s="412"/>
      <c r="L16" s="412"/>
      <c r="M16" s="412"/>
      <c r="N16" s="412"/>
      <c r="V16" s="805">
        <f>1891/I30</f>
        <v>0.16939890710382513</v>
      </c>
    </row>
    <row r="17" spans="1:28" ht="13.5" customHeight="1">
      <c r="A17" s="180" t="s">
        <v>318</v>
      </c>
      <c r="B17" s="180" t="s">
        <v>964</v>
      </c>
      <c r="C17" s="180"/>
      <c r="D17" s="180"/>
      <c r="E17" s="180"/>
      <c r="F17" s="470"/>
      <c r="G17"/>
      <c r="H17"/>
      <c r="I17"/>
      <c r="J17" s="412"/>
      <c r="K17" s="412"/>
      <c r="L17" s="412"/>
      <c r="M17" s="412"/>
      <c r="N17" s="412"/>
      <c r="O17" s="805"/>
    </row>
    <row r="18" spans="1:28" ht="13.5" customHeight="1">
      <c r="A18" s="180"/>
      <c r="B18" s="180" t="s">
        <v>965</v>
      </c>
      <c r="C18" s="180"/>
      <c r="D18" s="180"/>
      <c r="E18" s="180"/>
      <c r="F18" s="470"/>
      <c r="G18"/>
      <c r="H18"/>
      <c r="I18"/>
      <c r="J18" s="412"/>
      <c r="K18" s="412"/>
      <c r="L18" s="412"/>
      <c r="M18" s="412"/>
      <c r="N18" s="412"/>
      <c r="O18" s="805"/>
    </row>
    <row r="19" spans="1:28" ht="13.5" customHeight="1">
      <c r="A19" s="180"/>
      <c r="B19" s="180" t="s">
        <v>966</v>
      </c>
      <c r="C19" s="180"/>
      <c r="D19" s="180"/>
      <c r="E19" s="180"/>
      <c r="F19" s="470"/>
      <c r="G19"/>
      <c r="H19"/>
      <c r="I19"/>
      <c r="J19" s="412"/>
      <c r="K19" s="412"/>
      <c r="L19" s="412"/>
      <c r="M19" s="412"/>
      <c r="N19" s="412"/>
      <c r="R19" s="411">
        <f>1440/9472</f>
        <v>0.15202702702702703</v>
      </c>
      <c r="V19" s="411">
        <f>2234/11414</f>
        <v>0.19572454879971965</v>
      </c>
      <c r="Y19" s="411">
        <f>H29/G29</f>
        <v>5.6036119472100019</v>
      </c>
    </row>
    <row r="20" spans="1:28" ht="13.5" customHeight="1">
      <c r="A20" s="180"/>
      <c r="B20" s="439" t="s">
        <v>967</v>
      </c>
      <c r="C20" s="180"/>
      <c r="D20" s="180"/>
      <c r="E20" s="180"/>
      <c r="F20" s="470"/>
      <c r="G20"/>
      <c r="H20"/>
      <c r="I20"/>
      <c r="J20" s="412"/>
      <c r="K20" s="412"/>
      <c r="L20" s="412"/>
      <c r="M20" s="412"/>
      <c r="N20" s="412"/>
    </row>
    <row r="21" spans="1:28" ht="13.2">
      <c r="A21" s="4"/>
      <c r="B21" s="180" t="s">
        <v>1013</v>
      </c>
      <c r="C21" s="4"/>
      <c r="D21" s="4"/>
      <c r="E21" s="4"/>
      <c r="F21" s="5"/>
      <c r="G21"/>
      <c r="H21"/>
      <c r="I21"/>
      <c r="J21" s="412"/>
      <c r="K21" s="412"/>
      <c r="L21" s="412"/>
      <c r="M21" s="412"/>
      <c r="N21" s="412"/>
    </row>
    <row r="22" spans="1:28" ht="13.2">
      <c r="A22" s="4"/>
      <c r="B22" s="180"/>
      <c r="C22" s="4"/>
      <c r="D22" s="4"/>
      <c r="E22" s="4"/>
      <c r="F22" s="5"/>
      <c r="G22"/>
      <c r="H22"/>
      <c r="I22"/>
      <c r="J22" s="412"/>
      <c r="K22" s="412"/>
      <c r="L22" s="412"/>
      <c r="M22" s="412"/>
      <c r="N22" s="412"/>
      <c r="T22" s="1750">
        <f>E27+E28</f>
        <v>289</v>
      </c>
    </row>
    <row r="23" spans="1:28" ht="18.75" customHeight="1">
      <c r="A23" s="451" t="s">
        <v>375</v>
      </c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12"/>
      <c r="O23" s="805">
        <f>556/I28</f>
        <v>0.30599889928453494</v>
      </c>
    </row>
    <row r="24" spans="1:28" ht="15" customHeight="1" thickBot="1">
      <c r="A24" s="451"/>
      <c r="B24" s="452"/>
      <c r="C24" s="452"/>
      <c r="D24" s="452"/>
      <c r="E24" s="452"/>
      <c r="F24" s="452"/>
      <c r="G24" s="452"/>
      <c r="H24" s="452"/>
      <c r="I24" s="452"/>
      <c r="J24" s="452"/>
      <c r="K24" s="452"/>
      <c r="L24" s="452"/>
      <c r="M24" s="412"/>
    </row>
    <row r="25" spans="1:28" s="807" customFormat="1" ht="15.75" customHeight="1" thickBot="1">
      <c r="A25" s="806"/>
      <c r="C25" s="2044" t="s">
        <v>308</v>
      </c>
      <c r="D25" s="2045"/>
      <c r="E25" s="2044" t="s">
        <v>309</v>
      </c>
      <c r="F25" s="2045"/>
      <c r="G25" s="2046" t="s">
        <v>310</v>
      </c>
      <c r="H25" s="2047"/>
      <c r="I25" s="2048" t="s">
        <v>155</v>
      </c>
      <c r="J25" s="2049"/>
      <c r="K25" s="2049"/>
      <c r="L25" s="2050"/>
      <c r="M25" s="808"/>
      <c r="R25" s="807">
        <f>J29/I29</f>
        <v>5.3988069414316699</v>
      </c>
      <c r="Y25" s="807">
        <f>2085/11414</f>
        <v>0.18267040476607674</v>
      </c>
    </row>
    <row r="26" spans="1:28" s="810" customFormat="1" ht="63" customHeight="1" thickBot="1">
      <c r="A26" s="1915"/>
      <c r="B26" s="809" t="s">
        <v>311</v>
      </c>
      <c r="C26" s="1916" t="s">
        <v>312</v>
      </c>
      <c r="D26" s="1917" t="s">
        <v>313</v>
      </c>
      <c r="E26" s="1918" t="s">
        <v>312</v>
      </c>
      <c r="F26" s="1917" t="s">
        <v>313</v>
      </c>
      <c r="G26" s="1918" t="s">
        <v>312</v>
      </c>
      <c r="H26" s="1917" t="s">
        <v>313</v>
      </c>
      <c r="I26" s="1912" t="s">
        <v>314</v>
      </c>
      <c r="J26" s="1913" t="s">
        <v>315</v>
      </c>
      <c r="K26" s="1913" t="s">
        <v>316</v>
      </c>
      <c r="L26" s="1914" t="s">
        <v>317</v>
      </c>
      <c r="M26" s="808"/>
    </row>
    <row r="27" spans="1:28" s="810" customFormat="1" ht="15" customHeight="1">
      <c r="A27" s="857" t="s">
        <v>550</v>
      </c>
      <c r="B27" s="430">
        <v>109</v>
      </c>
      <c r="C27" s="811">
        <v>5</v>
      </c>
      <c r="D27" s="435">
        <v>5</v>
      </c>
      <c r="E27" s="434">
        <v>121</v>
      </c>
      <c r="F27" s="435">
        <v>188</v>
      </c>
      <c r="G27" s="434"/>
      <c r="H27" s="435"/>
      <c r="I27" s="880">
        <f t="shared" ref="I27:J28" si="2">C27+E27+G27</f>
        <v>126</v>
      </c>
      <c r="J27" s="881">
        <f t="shared" si="2"/>
        <v>193</v>
      </c>
      <c r="K27" s="882">
        <f>I27/B27</f>
        <v>1.1559633027522935</v>
      </c>
      <c r="L27" s="883">
        <f>J27/B27</f>
        <v>1.7706422018348624</v>
      </c>
      <c r="M27" s="808"/>
      <c r="N27" s="808"/>
      <c r="O27" s="1748">
        <f>571/1826</f>
        <v>0.31270536692223438</v>
      </c>
      <c r="R27" s="810">
        <f>(4530+199)/(1826+116)</f>
        <v>2.4351184346035017</v>
      </c>
      <c r="AB27" s="810">
        <f>9/48</f>
        <v>0.1875</v>
      </c>
    </row>
    <row r="28" spans="1:28" s="810" customFormat="1" ht="15" customHeight="1">
      <c r="A28" s="429" t="s">
        <v>1012</v>
      </c>
      <c r="B28" s="423">
        <v>605</v>
      </c>
      <c r="C28" s="812">
        <v>8</v>
      </c>
      <c r="D28" s="428">
        <v>11</v>
      </c>
      <c r="E28" s="427">
        <v>168</v>
      </c>
      <c r="F28" s="428">
        <v>229</v>
      </c>
      <c r="G28" s="427">
        <v>1641</v>
      </c>
      <c r="H28" s="428">
        <v>3859</v>
      </c>
      <c r="I28" s="884">
        <f t="shared" si="2"/>
        <v>1817</v>
      </c>
      <c r="J28" s="885">
        <f t="shared" si="2"/>
        <v>4099</v>
      </c>
      <c r="K28" s="885">
        <f>I28/B28</f>
        <v>3.0033057851239668</v>
      </c>
      <c r="L28" s="887">
        <f>J28/B28</f>
        <v>6.7752066115702476</v>
      </c>
      <c r="M28" s="808"/>
      <c r="N28" s="808"/>
      <c r="W28" s="810">
        <f>16/13</f>
        <v>1.2307692307692308</v>
      </c>
    </row>
    <row r="29" spans="1:28" s="810" customFormat="1" ht="15" customHeight="1">
      <c r="A29" s="429" t="s">
        <v>266</v>
      </c>
      <c r="B29" s="430">
        <v>1291</v>
      </c>
      <c r="C29" s="811">
        <v>30</v>
      </c>
      <c r="D29" s="435">
        <v>97</v>
      </c>
      <c r="E29" s="811">
        <v>552</v>
      </c>
      <c r="F29" s="435">
        <v>1276</v>
      </c>
      <c r="G29" s="434">
        <v>8638</v>
      </c>
      <c r="H29" s="435">
        <v>48404</v>
      </c>
      <c r="I29" s="880">
        <f>C29+E29+G29</f>
        <v>9220</v>
      </c>
      <c r="J29" s="881">
        <f>D29+F29+H29</f>
        <v>49777</v>
      </c>
      <c r="K29" s="881">
        <f>I29/B29</f>
        <v>7.1417505809450041</v>
      </c>
      <c r="L29" s="883">
        <f>J29/B29</f>
        <v>38.556932610379548</v>
      </c>
      <c r="M29" s="808"/>
      <c r="N29" s="808"/>
      <c r="Z29" s="1753">
        <f>E27+E28</f>
        <v>289</v>
      </c>
    </row>
    <row r="30" spans="1:28" s="810" customFormat="1" ht="15" customHeight="1" thickBot="1">
      <c r="A30" s="813" t="s">
        <v>155</v>
      </c>
      <c r="B30" s="892">
        <f>SUM(B27:B29)</f>
        <v>2005</v>
      </c>
      <c r="C30" s="1951">
        <f>SUM(C27:C29)</f>
        <v>43</v>
      </c>
      <c r="D30" s="1952">
        <f>SUM(D27:D29)</f>
        <v>113</v>
      </c>
      <c r="E30" s="1951">
        <f>SUM(E27:E29)</f>
        <v>841</v>
      </c>
      <c r="F30" s="1952">
        <f>SUM(F27:F29)</f>
        <v>1693</v>
      </c>
      <c r="G30" s="1951">
        <f t="shared" ref="G30:H30" si="3">SUM(G27:G29)</f>
        <v>10279</v>
      </c>
      <c r="H30" s="1952">
        <f t="shared" si="3"/>
        <v>52263</v>
      </c>
      <c r="I30" s="888">
        <f>C30+E30+G30</f>
        <v>11163</v>
      </c>
      <c r="J30" s="889">
        <f>D30+F30+H30</f>
        <v>54069</v>
      </c>
      <c r="K30" s="890">
        <f>I30/B30</f>
        <v>5.5675810473815464</v>
      </c>
      <c r="L30" s="891">
        <f>J30/B30</f>
        <v>26.96708229426434</v>
      </c>
      <c r="M30" s="808"/>
      <c r="N30" s="808"/>
      <c r="O30" s="1199"/>
    </row>
    <row r="31" spans="1:28" ht="13.5" customHeight="1">
      <c r="A31" s="437" t="str">
        <f>'fiche technique'!A11</f>
        <v>Source : DGRH A1-1, A2, GALAXIE (ANTARES-ANTEE), juin 2014</v>
      </c>
      <c r="G31" s="412"/>
      <c r="H31" s="412"/>
      <c r="I31" s="412"/>
      <c r="J31" s="412"/>
      <c r="K31" s="412"/>
      <c r="L31" s="412"/>
      <c r="M31" s="412"/>
      <c r="N31" s="412"/>
    </row>
    <row r="32" spans="1:28" ht="13.5" customHeight="1">
      <c r="A32" s="180" t="s">
        <v>318</v>
      </c>
      <c r="B32" s="180" t="s">
        <v>968</v>
      </c>
      <c r="C32" s="180"/>
      <c r="D32" s="180"/>
      <c r="E32" s="180"/>
      <c r="F32" s="470"/>
      <c r="G32"/>
      <c r="H32"/>
      <c r="I32"/>
      <c r="J32" s="412"/>
      <c r="K32" s="412"/>
      <c r="L32" s="412"/>
      <c r="M32" s="412"/>
      <c r="N32" s="412"/>
      <c r="O32" s="805">
        <f>43/11163</f>
        <v>3.852011108125056E-3</v>
      </c>
      <c r="R32" s="411">
        <f>(J28+J27)/(I28+I27)</f>
        <v>2.2089552238805972</v>
      </c>
      <c r="U32" s="411">
        <f>G28/B28</f>
        <v>2.7123966942148758</v>
      </c>
    </row>
    <row r="33" spans="1:26" ht="13.5" customHeight="1">
      <c r="A33" s="180"/>
      <c r="B33" s="180" t="s">
        <v>969</v>
      </c>
      <c r="C33" s="180"/>
      <c r="D33" s="180"/>
      <c r="E33" s="180"/>
      <c r="F33" s="470"/>
      <c r="G33"/>
      <c r="H33"/>
      <c r="I33"/>
      <c r="J33" s="412"/>
      <c r="K33" s="412"/>
      <c r="L33" s="412"/>
      <c r="M33" s="412"/>
      <c r="N33" s="1198"/>
    </row>
    <row r="34" spans="1:26" ht="13.5" customHeight="1">
      <c r="A34" s="180"/>
      <c r="B34" s="180" t="s">
        <v>970</v>
      </c>
      <c r="C34" s="180"/>
      <c r="D34" s="180"/>
      <c r="E34" s="180"/>
      <c r="F34" s="470"/>
      <c r="G34"/>
      <c r="H34"/>
      <c r="I34"/>
      <c r="J34" s="412"/>
      <c r="K34" s="412"/>
      <c r="L34" s="412"/>
      <c r="M34" s="412"/>
      <c r="N34" s="412"/>
      <c r="Z34" s="411">
        <f>841/249</f>
        <v>3.3775100401606424</v>
      </c>
    </row>
    <row r="35" spans="1:26" ht="13.5" customHeight="1">
      <c r="A35" s="180"/>
      <c r="B35" s="439" t="s">
        <v>739</v>
      </c>
      <c r="C35" s="180"/>
      <c r="D35" s="180"/>
      <c r="E35" s="180"/>
      <c r="F35" s="470"/>
      <c r="G35"/>
      <c r="H35"/>
      <c r="I35"/>
      <c r="J35" s="412"/>
      <c r="K35" s="412"/>
      <c r="L35" s="412"/>
      <c r="M35" s="412"/>
      <c r="N35" s="412"/>
    </row>
    <row r="36" spans="1:26" ht="13.2">
      <c r="A36" s="4"/>
      <c r="B36" s="180" t="s">
        <v>1013</v>
      </c>
      <c r="C36" s="4"/>
      <c r="D36" s="4"/>
      <c r="E36" s="4"/>
      <c r="F36" s="5"/>
      <c r="G36"/>
      <c r="H36"/>
      <c r="I36"/>
      <c r="J36" s="412"/>
      <c r="K36" s="412"/>
      <c r="L36" s="412"/>
      <c r="M36" s="412"/>
      <c r="N36" s="412"/>
      <c r="U36" s="411">
        <f>97/30</f>
        <v>3.2333333333333334</v>
      </c>
    </row>
    <row r="37" spans="1:26" ht="13.2">
      <c r="G37" s="412"/>
      <c r="H37" s="412"/>
      <c r="I37" s="412"/>
      <c r="J37" s="412"/>
      <c r="K37" s="412"/>
      <c r="L37" s="412"/>
      <c r="M37" s="412"/>
      <c r="N37" s="412"/>
      <c r="O37" s="411">
        <f>188+229</f>
        <v>417</v>
      </c>
    </row>
    <row r="38" spans="1:26" ht="13.2">
      <c r="G38" s="412"/>
      <c r="H38" s="412"/>
      <c r="I38" s="412"/>
      <c r="J38" s="412"/>
      <c r="K38" s="412"/>
      <c r="L38" s="412"/>
      <c r="M38" s="412"/>
      <c r="N38" s="412"/>
      <c r="Q38" s="411">
        <f>H29/G29</f>
        <v>5.6036119472100019</v>
      </c>
      <c r="Z38" s="805">
        <f>249/841</f>
        <v>0.29607609988109396</v>
      </c>
    </row>
    <row r="39" spans="1:26" ht="13.2">
      <c r="H39" s="440"/>
      <c r="I39" s="440"/>
      <c r="J39" s="440"/>
      <c r="K39" s="440"/>
      <c r="O39" s="411">
        <f>417/289</f>
        <v>1.4429065743944636</v>
      </c>
    </row>
    <row r="40" spans="1:26" ht="20.399999999999999">
      <c r="A40" s="441"/>
      <c r="H40" s="440"/>
      <c r="I40" s="440"/>
      <c r="J40" s="1751"/>
      <c r="K40" s="440"/>
      <c r="T40" s="1763">
        <f>G29/B29</f>
        <v>6.6909372579395816</v>
      </c>
      <c r="V40" s="1763">
        <f>H28/G28</f>
        <v>2.351614868982328</v>
      </c>
    </row>
    <row r="41" spans="1:26" ht="13.2">
      <c r="H41" s="440"/>
      <c r="I41" s="440"/>
      <c r="J41" s="440"/>
      <c r="K41" s="440"/>
      <c r="Q41" s="411">
        <f>53729/8798</f>
        <v>6.1069561263923617</v>
      </c>
    </row>
    <row r="42" spans="1:26" ht="13.2">
      <c r="H42" s="1198">
        <f>841/11163</f>
        <v>7.533817074263191E-2</v>
      </c>
      <c r="I42" s="440"/>
      <c r="J42" s="440"/>
      <c r="K42" s="440"/>
    </row>
  </sheetData>
  <mergeCells count="9">
    <mergeCell ref="C25:D25"/>
    <mergeCell ref="E25:F25"/>
    <mergeCell ref="G25:H25"/>
    <mergeCell ref="I25:L25"/>
    <mergeCell ref="E1:F1"/>
    <mergeCell ref="C10:D10"/>
    <mergeCell ref="E10:F10"/>
    <mergeCell ref="G10:H10"/>
    <mergeCell ref="I10:L10"/>
  </mergeCells>
  <printOptions horizontalCentered="1"/>
  <pageMargins left="0.39370078740157483" right="0.39370078740157483" top="0.59055118110236227" bottom="0.59055118110236227" header="0.31496062992125984" footer="0.31496062992125984"/>
  <pageSetup paperSize="9" scale="80" orientation="landscape" r:id="rId1"/>
  <headerFooter alignWithMargins="0">
    <oddHeader>&amp;LDGRH A1-1</oddHeader>
    <oddFooter>&amp;CPage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Feuil10">
    <tabColor rgb="FFFFFF00"/>
  </sheetPr>
  <dimension ref="A1:M67"/>
  <sheetViews>
    <sheetView workbookViewId="0">
      <selection activeCell="M63" sqref="M63"/>
    </sheetView>
  </sheetViews>
  <sheetFormatPr baseColWidth="10" defaultColWidth="11.44140625" defaultRowHeight="13.2"/>
  <cols>
    <col min="1" max="7" width="12.5546875" style="380" customWidth="1"/>
    <col min="8" max="16384" width="11.44140625" style="380"/>
  </cols>
  <sheetData>
    <row r="1" spans="1:12" s="411" customFormat="1" ht="15" customHeight="1">
      <c r="D1" s="2051"/>
      <c r="E1" s="2051"/>
      <c r="F1" s="412"/>
      <c r="G1" s="412"/>
      <c r="H1" s="412"/>
      <c r="I1" s="412"/>
      <c r="J1" s="412"/>
      <c r="K1" s="412"/>
    </row>
    <row r="2" spans="1:12" s="825" customFormat="1" ht="24" customHeight="1">
      <c r="A2" s="2061" t="str">
        <f>'fiche technique'!A17</f>
        <v xml:space="preserve">Bilan de la campagne 2014 de recrutement et d'affectation </v>
      </c>
      <c r="B2" s="2061"/>
      <c r="C2" s="2061"/>
      <c r="D2" s="2061"/>
      <c r="E2" s="2061"/>
      <c r="F2" s="2061"/>
      <c r="G2" s="2061"/>
      <c r="H2" s="826"/>
      <c r="I2" s="827"/>
      <c r="J2" s="827"/>
      <c r="K2" s="824"/>
    </row>
    <row r="3" spans="1:12" s="413" customFormat="1" ht="13.5" customHeight="1">
      <c r="A3" s="2061" t="s">
        <v>555</v>
      </c>
      <c r="B3" s="2061"/>
      <c r="C3" s="2061"/>
      <c r="D3" s="2061"/>
      <c r="E3" s="2061"/>
      <c r="F3" s="2061"/>
      <c r="G3" s="2061"/>
      <c r="H3" s="826"/>
      <c r="I3" s="828"/>
      <c r="J3" s="828"/>
      <c r="K3" s="412"/>
    </row>
    <row r="4" spans="1:12" s="1809" customFormat="1" ht="20.25" customHeight="1">
      <c r="A4" s="1808"/>
      <c r="B4" s="1808"/>
      <c r="C4" s="1808"/>
      <c r="D4" s="1808"/>
      <c r="E4" s="1808"/>
      <c r="F4" s="1808"/>
      <c r="G4" s="1808"/>
      <c r="H4" s="826"/>
      <c r="I4" s="828"/>
      <c r="J4" s="828"/>
      <c r="K4" s="808"/>
    </row>
    <row r="5" spans="1:12" s="413" customFormat="1" ht="20.25" customHeight="1">
      <c r="A5" s="2060" t="s">
        <v>557</v>
      </c>
      <c r="B5" s="2060"/>
      <c r="C5" s="2060"/>
      <c r="D5" s="2060"/>
      <c r="E5" s="2060"/>
      <c r="F5" s="2060"/>
      <c r="G5" s="2060"/>
      <c r="H5" s="449"/>
      <c r="I5" s="449"/>
      <c r="J5" s="449"/>
      <c r="K5" s="412"/>
    </row>
    <row r="6" spans="1:12" s="413" customFormat="1" ht="20.25" customHeight="1">
      <c r="A6" s="2060" t="s">
        <v>984</v>
      </c>
      <c r="B6" s="2060"/>
      <c r="C6" s="2060"/>
      <c r="D6" s="2060"/>
      <c r="E6" s="2060"/>
      <c r="F6" s="2060"/>
      <c r="G6" s="2060"/>
      <c r="H6" s="449"/>
      <c r="I6" s="449"/>
      <c r="J6" s="449"/>
      <c r="K6" s="412"/>
    </row>
    <row r="7" spans="1:12" s="413" customFormat="1" ht="15" customHeight="1" thickBot="1">
      <c r="A7" s="814"/>
      <c r="B7" s="814"/>
      <c r="C7" s="814"/>
      <c r="D7" s="814"/>
      <c r="E7" s="814"/>
      <c r="F7" s="814"/>
      <c r="G7" s="814"/>
      <c r="H7" s="449"/>
      <c r="I7" s="449"/>
      <c r="J7" s="449"/>
      <c r="K7" s="412"/>
    </row>
    <row r="8" spans="1:12" ht="57.75" customHeight="1" thickBot="1">
      <c r="A8" s="831"/>
      <c r="B8" s="2056" t="s">
        <v>985</v>
      </c>
      <c r="C8" s="2057"/>
      <c r="D8" s="2058" t="s">
        <v>551</v>
      </c>
      <c r="E8" s="2057"/>
      <c r="F8" s="2058" t="s">
        <v>552</v>
      </c>
      <c r="G8" s="2059"/>
      <c r="I8" s="1862"/>
      <c r="J8" s="1862"/>
      <c r="K8" s="1862"/>
      <c r="L8" s="1862"/>
    </row>
    <row r="9" spans="1:12">
      <c r="A9" s="832" t="s">
        <v>553</v>
      </c>
      <c r="B9" s="817" t="s">
        <v>266</v>
      </c>
      <c r="C9" s="817" t="s">
        <v>265</v>
      </c>
      <c r="D9" s="817" t="s">
        <v>266</v>
      </c>
      <c r="E9" s="817" t="s">
        <v>265</v>
      </c>
      <c r="F9" s="817" t="s">
        <v>266</v>
      </c>
      <c r="G9" s="833" t="s">
        <v>265</v>
      </c>
    </row>
    <row r="10" spans="1:12">
      <c r="A10" s="834">
        <v>1</v>
      </c>
      <c r="B10" s="1185">
        <v>235</v>
      </c>
      <c r="C10" s="1186">
        <v>289</v>
      </c>
      <c r="D10" s="1185">
        <v>2</v>
      </c>
      <c r="E10" s="1186">
        <v>2</v>
      </c>
      <c r="F10" s="1185">
        <v>78</v>
      </c>
      <c r="G10" s="1187">
        <f>40+66</f>
        <v>106</v>
      </c>
    </row>
    <row r="11" spans="1:12">
      <c r="A11" s="835">
        <v>2</v>
      </c>
      <c r="B11" s="1188">
        <v>154</v>
      </c>
      <c r="C11" s="1189">
        <v>104</v>
      </c>
      <c r="D11" s="1188" t="s">
        <v>530</v>
      </c>
      <c r="E11" s="1189"/>
      <c r="F11" s="1188">
        <v>10</v>
      </c>
      <c r="G11" s="1190">
        <f>8+10</f>
        <v>18</v>
      </c>
    </row>
    <row r="12" spans="1:12">
      <c r="A12" s="835">
        <v>3</v>
      </c>
      <c r="B12" s="1188">
        <v>110</v>
      </c>
      <c r="C12" s="1189">
        <v>42</v>
      </c>
      <c r="D12" s="1188" t="s">
        <v>530</v>
      </c>
      <c r="E12" s="1189" t="s">
        <v>530</v>
      </c>
      <c r="F12" s="1188">
        <v>14</v>
      </c>
      <c r="G12" s="1190">
        <v>2</v>
      </c>
    </row>
    <row r="13" spans="1:12">
      <c r="A13" s="835">
        <v>4</v>
      </c>
      <c r="B13" s="1188">
        <v>102</v>
      </c>
      <c r="C13" s="1189">
        <v>25</v>
      </c>
      <c r="D13" s="1188">
        <v>1</v>
      </c>
      <c r="E13" s="1189"/>
      <c r="F13" s="1188">
        <v>6</v>
      </c>
      <c r="G13" s="1190">
        <v>2</v>
      </c>
    </row>
    <row r="14" spans="1:12">
      <c r="A14" s="835">
        <v>5</v>
      </c>
      <c r="B14" s="1188">
        <v>79</v>
      </c>
      <c r="C14" s="1189">
        <v>15</v>
      </c>
      <c r="D14" s="1188">
        <v>1</v>
      </c>
      <c r="E14" s="1189" t="s">
        <v>530</v>
      </c>
      <c r="F14" s="1188">
        <v>2</v>
      </c>
      <c r="G14" s="1190">
        <v>3</v>
      </c>
    </row>
    <row r="15" spans="1:12">
      <c r="A15" s="835">
        <v>6</v>
      </c>
      <c r="B15" s="1188">
        <v>71</v>
      </c>
      <c r="C15" s="1189">
        <v>11</v>
      </c>
      <c r="D15" s="1188" t="s">
        <v>530</v>
      </c>
      <c r="E15" s="1189"/>
      <c r="F15" s="1188" t="s">
        <v>530</v>
      </c>
      <c r="G15" s="1190" t="s">
        <v>530</v>
      </c>
    </row>
    <row r="16" spans="1:12">
      <c r="A16" s="835">
        <v>7</v>
      </c>
      <c r="B16" s="1188">
        <v>49</v>
      </c>
      <c r="C16" s="1189">
        <v>3</v>
      </c>
      <c r="D16" s="1188" t="s">
        <v>530</v>
      </c>
      <c r="E16" s="1189"/>
      <c r="F16" s="1188">
        <v>1</v>
      </c>
      <c r="G16" s="1190" t="s">
        <v>530</v>
      </c>
    </row>
    <row r="17" spans="1:13">
      <c r="A17" s="835">
        <v>8</v>
      </c>
      <c r="B17" s="1188">
        <v>37</v>
      </c>
      <c r="C17" s="1189">
        <v>4</v>
      </c>
      <c r="D17" s="1188" t="s">
        <v>530</v>
      </c>
      <c r="E17" s="1189"/>
      <c r="F17" s="1188">
        <v>3</v>
      </c>
      <c r="G17" s="1190" t="s">
        <v>530</v>
      </c>
    </row>
    <row r="18" spans="1:13">
      <c r="A18" s="835">
        <v>9</v>
      </c>
      <c r="B18" s="1188">
        <v>31</v>
      </c>
      <c r="C18" s="1189">
        <v>1</v>
      </c>
      <c r="D18" s="1188" t="s">
        <v>530</v>
      </c>
      <c r="E18" s="1189"/>
      <c r="F18" s="1188">
        <v>1</v>
      </c>
      <c r="G18" s="1190"/>
    </row>
    <row r="19" spans="1:13">
      <c r="A19" s="835">
        <v>10</v>
      </c>
      <c r="B19" s="1188">
        <v>24</v>
      </c>
      <c r="C19" s="1189">
        <v>3</v>
      </c>
      <c r="D19" s="1188"/>
      <c r="E19" s="1189"/>
      <c r="F19" s="1188">
        <v>1</v>
      </c>
      <c r="G19" s="1190"/>
    </row>
    <row r="20" spans="1:13">
      <c r="A20" s="835">
        <v>11</v>
      </c>
      <c r="B20" s="1188">
        <v>25</v>
      </c>
      <c r="C20" s="1189">
        <v>4</v>
      </c>
      <c r="D20" s="1188" t="s">
        <v>530</v>
      </c>
      <c r="E20" s="1189"/>
      <c r="F20" s="1188">
        <v>1</v>
      </c>
      <c r="G20" s="1190"/>
    </row>
    <row r="21" spans="1:13">
      <c r="A21" s="835">
        <v>12</v>
      </c>
      <c r="B21" s="1188">
        <v>20</v>
      </c>
      <c r="C21" s="1189">
        <v>1</v>
      </c>
      <c r="D21" s="1188"/>
      <c r="E21" s="1189"/>
      <c r="F21" s="1188"/>
      <c r="G21" s="1190"/>
    </row>
    <row r="22" spans="1:13">
      <c r="A22" s="835">
        <v>13</v>
      </c>
      <c r="B22" s="1188">
        <v>14</v>
      </c>
      <c r="C22" s="1189">
        <v>2</v>
      </c>
      <c r="D22" s="1188"/>
      <c r="E22" s="1189" t="s">
        <v>530</v>
      </c>
      <c r="F22" s="1188"/>
      <c r="G22" s="1190"/>
    </row>
    <row r="23" spans="1:13">
      <c r="A23" s="835">
        <v>14</v>
      </c>
      <c r="B23" s="1188">
        <v>13</v>
      </c>
      <c r="C23" s="1189" t="s">
        <v>530</v>
      </c>
      <c r="D23" s="1188"/>
      <c r="E23" s="1189"/>
      <c r="F23" s="1188"/>
      <c r="G23" s="1190"/>
    </row>
    <row r="24" spans="1:13">
      <c r="A24" s="835">
        <v>15</v>
      </c>
      <c r="B24" s="1188">
        <v>15</v>
      </c>
      <c r="C24" s="1191"/>
      <c r="D24" s="1188"/>
      <c r="E24" s="1191"/>
      <c r="F24" s="1188"/>
      <c r="G24" s="1192"/>
    </row>
    <row r="25" spans="1:13">
      <c r="A25" s="835">
        <v>16</v>
      </c>
      <c r="B25" s="1188">
        <v>14</v>
      </c>
      <c r="C25" s="1191" t="s">
        <v>530</v>
      </c>
      <c r="D25" s="1188" t="s">
        <v>530</v>
      </c>
      <c r="E25" s="1191"/>
      <c r="F25" s="1188" t="s">
        <v>530</v>
      </c>
      <c r="G25" s="1192"/>
      <c r="M25" s="858"/>
    </row>
    <row r="26" spans="1:13">
      <c r="A26" s="835">
        <v>17</v>
      </c>
      <c r="B26" s="1188">
        <v>9</v>
      </c>
      <c r="C26" s="1191"/>
      <c r="D26" s="1188" t="s">
        <v>530</v>
      </c>
      <c r="E26" s="1191"/>
      <c r="F26" s="1188"/>
      <c r="G26" s="1192"/>
    </row>
    <row r="27" spans="1:13">
      <c r="A27" s="835">
        <v>18</v>
      </c>
      <c r="B27" s="1188">
        <v>11</v>
      </c>
      <c r="C27" s="1191" t="s">
        <v>530</v>
      </c>
      <c r="D27" s="1188"/>
      <c r="E27" s="1191"/>
      <c r="F27" s="1188"/>
      <c r="G27" s="1192"/>
    </row>
    <row r="28" spans="1:13">
      <c r="A28" s="835">
        <v>19</v>
      </c>
      <c r="B28" s="1188">
        <v>9</v>
      </c>
      <c r="C28" s="1191" t="s">
        <v>530</v>
      </c>
      <c r="D28" s="1188"/>
      <c r="E28" s="1191"/>
      <c r="F28" s="1188"/>
      <c r="G28" s="1192"/>
    </row>
    <row r="29" spans="1:13">
      <c r="A29" s="1953">
        <v>20</v>
      </c>
      <c r="B29" s="1188">
        <v>9</v>
      </c>
      <c r="C29" s="1191" t="s">
        <v>530</v>
      </c>
      <c r="D29" s="1930"/>
      <c r="E29" s="1932"/>
      <c r="F29" s="1931"/>
      <c r="G29" s="1192"/>
    </row>
    <row r="30" spans="1:13">
      <c r="A30" s="835">
        <v>21</v>
      </c>
      <c r="B30" s="1188">
        <v>5</v>
      </c>
      <c r="C30" s="1191" t="s">
        <v>530</v>
      </c>
      <c r="D30" s="1188"/>
      <c r="E30" s="1191"/>
      <c r="F30" s="1188"/>
      <c r="G30" s="1192"/>
    </row>
    <row r="31" spans="1:13">
      <c r="A31" s="835">
        <v>22</v>
      </c>
      <c r="B31" s="1188">
        <v>5</v>
      </c>
      <c r="C31" s="1191"/>
      <c r="D31" s="1188"/>
      <c r="E31" s="1191"/>
      <c r="F31" s="1188"/>
      <c r="G31" s="1192"/>
    </row>
    <row r="32" spans="1:13">
      <c r="A32" s="835">
        <v>23</v>
      </c>
      <c r="B32" s="1188">
        <v>8</v>
      </c>
      <c r="C32" s="1191"/>
      <c r="D32" s="1188"/>
      <c r="E32" s="1191"/>
      <c r="F32" s="1188"/>
      <c r="G32" s="1192"/>
    </row>
    <row r="33" spans="1:10">
      <c r="A33" s="835">
        <v>24</v>
      </c>
      <c r="B33" s="1188">
        <v>5</v>
      </c>
      <c r="C33" s="1191"/>
      <c r="D33" s="1188"/>
      <c r="E33" s="1191"/>
      <c r="F33" s="1188"/>
      <c r="G33" s="1192"/>
      <c r="J33" s="1200"/>
    </row>
    <row r="34" spans="1:10">
      <c r="A34" s="835">
        <v>25</v>
      </c>
      <c r="B34" s="1188">
        <v>4</v>
      </c>
      <c r="C34" s="1191"/>
      <c r="D34" s="1188"/>
      <c r="E34" s="1191"/>
      <c r="F34" s="1188"/>
      <c r="G34" s="1192"/>
    </row>
    <row r="35" spans="1:10">
      <c r="A35" s="835">
        <v>26</v>
      </c>
      <c r="B35" s="1188">
        <v>7</v>
      </c>
      <c r="C35" s="1191" t="s">
        <v>530</v>
      </c>
      <c r="D35" s="1188"/>
      <c r="E35" s="1191"/>
      <c r="F35" s="1188"/>
      <c r="G35" s="1192"/>
    </row>
    <row r="36" spans="1:10">
      <c r="A36" s="835">
        <v>27</v>
      </c>
      <c r="B36" s="1188">
        <v>8</v>
      </c>
      <c r="C36" s="1191"/>
      <c r="D36" s="1188"/>
      <c r="E36" s="1191"/>
      <c r="F36" s="1188"/>
      <c r="G36" s="1192"/>
    </row>
    <row r="37" spans="1:10">
      <c r="A37" s="835">
        <v>28</v>
      </c>
      <c r="B37" s="1188">
        <v>7</v>
      </c>
      <c r="C37" s="1191"/>
      <c r="D37" s="1188"/>
      <c r="E37" s="1191"/>
      <c r="F37" s="1188"/>
      <c r="G37" s="1192"/>
    </row>
    <row r="38" spans="1:10">
      <c r="A38" s="835">
        <v>29</v>
      </c>
      <c r="B38" s="1188">
        <v>3</v>
      </c>
      <c r="C38" s="1191"/>
      <c r="D38" s="1188"/>
      <c r="E38" s="1191"/>
      <c r="F38" s="1188"/>
      <c r="G38" s="1192"/>
      <c r="J38" s="1747">
        <f>529/1130</f>
        <v>0.46814159292035395</v>
      </c>
    </row>
    <row r="39" spans="1:10">
      <c r="A39" s="835">
        <v>30</v>
      </c>
      <c r="B39" s="1188">
        <v>6</v>
      </c>
      <c r="C39" s="1191"/>
      <c r="D39" s="1188"/>
      <c r="E39" s="1191"/>
      <c r="F39" s="1188"/>
      <c r="G39" s="1192"/>
    </row>
    <row r="40" spans="1:10">
      <c r="A40" s="835">
        <v>31</v>
      </c>
      <c r="B40" s="1188">
        <v>6</v>
      </c>
      <c r="C40" s="1191"/>
      <c r="D40" s="1188"/>
      <c r="E40" s="1191"/>
      <c r="F40" s="1188"/>
      <c r="G40" s="1192"/>
    </row>
    <row r="41" spans="1:10">
      <c r="A41" s="835">
        <v>32</v>
      </c>
      <c r="B41" s="1188">
        <v>3</v>
      </c>
      <c r="C41" s="1191"/>
      <c r="D41" s="1188"/>
      <c r="E41" s="1191"/>
      <c r="F41" s="1188"/>
      <c r="G41" s="1192"/>
    </row>
    <row r="42" spans="1:10">
      <c r="A42" s="835">
        <v>33</v>
      </c>
      <c r="B42" s="1188">
        <v>3</v>
      </c>
      <c r="C42" s="1191"/>
      <c r="D42" s="1188"/>
      <c r="E42" s="1191"/>
      <c r="F42" s="1188"/>
      <c r="G42" s="1192"/>
    </row>
    <row r="43" spans="1:10">
      <c r="A43" s="835">
        <v>34</v>
      </c>
      <c r="B43" s="1188">
        <v>4</v>
      </c>
      <c r="C43" s="1191"/>
      <c r="D43" s="1188"/>
      <c r="E43" s="1191"/>
      <c r="F43" s="1188"/>
      <c r="G43" s="1192"/>
      <c r="J43" s="380">
        <v>111</v>
      </c>
    </row>
    <row r="44" spans="1:10">
      <c r="A44" s="835">
        <v>35</v>
      </c>
      <c r="B44" s="1188">
        <v>5</v>
      </c>
      <c r="C44" s="1191"/>
      <c r="D44" s="1188"/>
      <c r="E44" s="1191"/>
      <c r="F44" s="1188"/>
      <c r="G44" s="1192"/>
    </row>
    <row r="45" spans="1:10">
      <c r="A45" s="835">
        <v>36</v>
      </c>
      <c r="B45" s="1188">
        <v>3</v>
      </c>
      <c r="C45" s="1191"/>
      <c r="D45" s="1188"/>
      <c r="E45" s="1191"/>
      <c r="F45" s="1188"/>
      <c r="G45" s="1192"/>
    </row>
    <row r="46" spans="1:10">
      <c r="A46" s="835">
        <v>38</v>
      </c>
      <c r="B46" s="1188">
        <v>1</v>
      </c>
      <c r="C46" s="1191"/>
      <c r="D46" s="1188"/>
      <c r="E46" s="1191"/>
      <c r="F46" s="1188"/>
      <c r="G46" s="1192"/>
      <c r="J46" s="1747">
        <f>J43/C64</f>
        <v>0.22023809523809523</v>
      </c>
    </row>
    <row r="47" spans="1:10">
      <c r="A47" s="835">
        <v>40</v>
      </c>
      <c r="B47" s="1188">
        <v>1</v>
      </c>
      <c r="C47" s="1191"/>
      <c r="D47" s="1188"/>
      <c r="E47" s="1191"/>
      <c r="F47" s="1188"/>
      <c r="G47" s="1192"/>
    </row>
    <row r="48" spans="1:10">
      <c r="A48" s="835">
        <v>44</v>
      </c>
      <c r="B48" s="1188">
        <v>1</v>
      </c>
      <c r="C48" s="1191"/>
      <c r="D48" s="1188"/>
      <c r="E48" s="1191"/>
      <c r="F48" s="1188"/>
      <c r="G48" s="1192"/>
    </row>
    <row r="49" spans="1:7">
      <c r="A49" s="835">
        <v>45</v>
      </c>
      <c r="B49" s="1188">
        <v>2</v>
      </c>
      <c r="C49" s="1191"/>
      <c r="D49" s="1188"/>
      <c r="E49" s="1191"/>
      <c r="F49" s="1188"/>
      <c r="G49" s="1192"/>
    </row>
    <row r="50" spans="1:7">
      <c r="A50" s="835">
        <v>46</v>
      </c>
      <c r="B50" s="1188">
        <v>1</v>
      </c>
      <c r="C50" s="1191"/>
      <c r="D50" s="1188"/>
      <c r="E50" s="1191"/>
      <c r="F50" s="1188"/>
      <c r="G50" s="1192"/>
    </row>
    <row r="51" spans="1:7">
      <c r="A51" s="835">
        <v>47</v>
      </c>
      <c r="B51" s="1188">
        <v>2</v>
      </c>
      <c r="C51" s="1191"/>
      <c r="D51" s="1188"/>
      <c r="E51" s="1191"/>
      <c r="F51" s="1188"/>
      <c r="G51" s="1192"/>
    </row>
    <row r="52" spans="1:7">
      <c r="A52" s="835">
        <v>50</v>
      </c>
      <c r="B52" s="1188">
        <v>1</v>
      </c>
      <c r="C52" s="1191"/>
      <c r="D52" s="1188"/>
      <c r="E52" s="1191"/>
      <c r="F52" s="1188"/>
      <c r="G52" s="1192"/>
    </row>
    <row r="53" spans="1:7">
      <c r="A53" s="835">
        <v>51</v>
      </c>
      <c r="B53" s="1188">
        <v>1</v>
      </c>
      <c r="C53" s="1191"/>
      <c r="D53" s="1188"/>
      <c r="E53" s="1191"/>
      <c r="F53" s="1188"/>
      <c r="G53" s="1192"/>
    </row>
    <row r="54" spans="1:7">
      <c r="A54" s="835">
        <v>53</v>
      </c>
      <c r="B54" s="1188">
        <v>1</v>
      </c>
      <c r="C54" s="1191"/>
      <c r="D54" s="1188"/>
      <c r="E54" s="1191"/>
      <c r="F54" s="1188"/>
      <c r="G54" s="1192"/>
    </row>
    <row r="55" spans="1:7">
      <c r="A55" s="835">
        <v>55</v>
      </c>
      <c r="B55" s="1188">
        <v>1</v>
      </c>
      <c r="C55" s="1191"/>
      <c r="D55" s="1188"/>
      <c r="E55" s="1191"/>
      <c r="F55" s="1188"/>
      <c r="G55" s="1192"/>
    </row>
    <row r="56" spans="1:7">
      <c r="A56" s="835">
        <v>56</v>
      </c>
      <c r="B56" s="1188">
        <v>1</v>
      </c>
      <c r="C56" s="1191"/>
      <c r="D56" s="1188"/>
      <c r="E56" s="1191"/>
      <c r="F56" s="1188"/>
      <c r="G56" s="1192"/>
    </row>
    <row r="57" spans="1:7">
      <c r="A57" s="835">
        <v>57</v>
      </c>
      <c r="B57" s="1188">
        <v>1</v>
      </c>
      <c r="C57" s="1191"/>
      <c r="D57" s="1188"/>
      <c r="E57" s="1191"/>
      <c r="F57" s="1188"/>
      <c r="G57" s="1192"/>
    </row>
    <row r="58" spans="1:7">
      <c r="A58" s="1226">
        <v>59</v>
      </c>
      <c r="B58" s="1188">
        <v>1</v>
      </c>
      <c r="C58" s="1191"/>
      <c r="D58" s="1188"/>
      <c r="E58" s="1191"/>
      <c r="F58" s="1188"/>
      <c r="G58" s="1192"/>
    </row>
    <row r="59" spans="1:7">
      <c r="A59" s="835">
        <v>65</v>
      </c>
      <c r="B59" s="1188">
        <v>1</v>
      </c>
      <c r="C59" s="1189"/>
      <c r="D59" s="1188"/>
      <c r="E59" s="1189"/>
      <c r="F59" s="1188"/>
      <c r="G59" s="1190"/>
    </row>
    <row r="60" spans="1:7" ht="13.8" thickBot="1">
      <c r="A60" s="836">
        <v>85</v>
      </c>
      <c r="B60" s="1805">
        <v>1</v>
      </c>
      <c r="C60" s="1806"/>
      <c r="D60" s="1805"/>
      <c r="E60" s="1806"/>
      <c r="F60" s="1805"/>
      <c r="G60" s="1807"/>
    </row>
    <row r="61" spans="1:7">
      <c r="A61" s="839" t="str">
        <f>'fiche technique'!A13</f>
        <v>Campagne de qualification - Année 2014</v>
      </c>
    </row>
    <row r="62" spans="1:7">
      <c r="A62" s="180" t="s">
        <v>1030</v>
      </c>
    </row>
    <row r="64" spans="1:7">
      <c r="B64" s="1200">
        <f>SUM(B10:B60)</f>
        <v>1130</v>
      </c>
      <c r="C64" s="1200">
        <f>SUM(C10:C60)</f>
        <v>504</v>
      </c>
      <c r="D64" s="1200">
        <f t="shared" ref="D64:F64" si="0">SUM(D10:D60)</f>
        <v>4</v>
      </c>
      <c r="E64" s="1200">
        <f t="shared" si="0"/>
        <v>2</v>
      </c>
      <c r="F64" s="1200">
        <f t="shared" si="0"/>
        <v>117</v>
      </c>
      <c r="G64" s="1200">
        <f>SUM(G10:G14)</f>
        <v>131</v>
      </c>
    </row>
    <row r="67" spans="2:2">
      <c r="B67" s="1200"/>
    </row>
  </sheetData>
  <mergeCells count="8">
    <mergeCell ref="B8:C8"/>
    <mergeCell ref="D8:E8"/>
    <mergeCell ref="F8:G8"/>
    <mergeCell ref="D1:E1"/>
    <mergeCell ref="A5:G5"/>
    <mergeCell ref="A6:G6"/>
    <mergeCell ref="A2:G2"/>
    <mergeCell ref="A3:G3"/>
  </mergeCells>
  <printOptions horizontalCentered="1"/>
  <pageMargins left="0.39370078740157483" right="0.39370078740157483" top="0.59055118110236227" bottom="0.39370078740157483" header="0.31496062992125984" footer="0.31496062992125984"/>
  <pageSetup paperSize="9" scale="85" orientation="portrait" r:id="rId1"/>
  <headerFooter alignWithMargins="0">
    <oddHeader>&amp;LDGRH A1-1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Feuil11">
    <tabColor rgb="FFFFFF00"/>
  </sheetPr>
  <dimension ref="A1:N43"/>
  <sheetViews>
    <sheetView workbookViewId="0">
      <selection activeCell="P9" sqref="P9"/>
    </sheetView>
  </sheetViews>
  <sheetFormatPr baseColWidth="10" defaultColWidth="11.44140625" defaultRowHeight="13.2"/>
  <cols>
    <col min="1" max="2" width="12.44140625" style="380" customWidth="1"/>
    <col min="3" max="3" width="7.44140625" style="380" customWidth="1"/>
    <col min="4" max="4" width="12.44140625" style="380" customWidth="1"/>
    <col min="5" max="5" width="7.44140625" style="380" customWidth="1"/>
    <col min="6" max="6" width="12.44140625" style="380" customWidth="1"/>
    <col min="7" max="7" width="7.44140625" style="380" customWidth="1"/>
    <col min="8" max="8" width="12.44140625" style="380" customWidth="1"/>
    <col min="9" max="9" width="7.44140625" style="380" customWidth="1"/>
    <col min="10" max="10" width="12.44140625" style="380" customWidth="1"/>
    <col min="11" max="11" width="9.6640625" style="380" customWidth="1"/>
    <col min="12" max="12" width="12.44140625" style="380" customWidth="1"/>
    <col min="13" max="16384" width="11.44140625" style="380"/>
  </cols>
  <sheetData>
    <row r="1" spans="1:13" s="411" customFormat="1" ht="15" customHeight="1">
      <c r="A1" s="804"/>
      <c r="E1" s="2051"/>
      <c r="F1" s="2051"/>
      <c r="G1" s="412"/>
      <c r="H1" s="412"/>
      <c r="I1" s="412"/>
      <c r="J1" s="412"/>
      <c r="K1" s="412"/>
      <c r="L1" s="412"/>
      <c r="M1" s="412"/>
    </row>
    <row r="2" spans="1:13" s="413" customFormat="1" ht="23.25" customHeight="1">
      <c r="A2" s="1193" t="str">
        <f>'fiche technique'!A16</f>
        <v xml:space="preserve">Bilan de la campagne 2014 de recrutement et d'affectation des maîtres de conférences et des professeurs des universités </v>
      </c>
      <c r="B2" s="384"/>
      <c r="C2" s="384"/>
      <c r="D2" s="384"/>
      <c r="E2" s="384"/>
      <c r="F2" s="384"/>
      <c r="G2" s="385"/>
      <c r="H2" s="385"/>
      <c r="I2" s="385"/>
      <c r="J2" s="385"/>
      <c r="K2" s="385"/>
      <c r="L2" s="385"/>
      <c r="M2" s="412"/>
    </row>
    <row r="3" spans="1:13" s="413" customFormat="1" ht="15" customHeight="1">
      <c r="A3" s="414"/>
      <c r="B3" s="414"/>
      <c r="C3" s="414"/>
      <c r="D3" s="414"/>
      <c r="E3" s="414"/>
      <c r="F3" s="415"/>
      <c r="G3" s="412"/>
      <c r="H3" s="412"/>
      <c r="I3" s="412"/>
      <c r="J3" s="412"/>
      <c r="K3" s="412"/>
      <c r="L3" s="412"/>
      <c r="M3" s="412"/>
    </row>
    <row r="4" spans="1:13" s="413" customFormat="1" ht="20.25" customHeight="1">
      <c r="A4" s="416" t="s">
        <v>558</v>
      </c>
      <c r="B4" s="416"/>
      <c r="C4" s="416"/>
      <c r="D4" s="416"/>
      <c r="E4" s="416"/>
      <c r="F4" s="417"/>
      <c r="G4" s="449"/>
      <c r="H4" s="449"/>
      <c r="I4" s="449"/>
      <c r="J4" s="449"/>
      <c r="K4" s="449"/>
      <c r="L4" s="449"/>
      <c r="M4" s="412"/>
    </row>
    <row r="5" spans="1:13" s="413" customFormat="1" ht="20.25" customHeight="1">
      <c r="A5" s="2060" t="s">
        <v>986</v>
      </c>
      <c r="B5" s="2060"/>
      <c r="C5" s="2060"/>
      <c r="D5" s="2060"/>
      <c r="E5" s="2060"/>
      <c r="F5" s="2060"/>
      <c r="G5" s="2060"/>
      <c r="H5" s="2060"/>
      <c r="I5" s="2060"/>
      <c r="J5" s="2060"/>
      <c r="K5" s="2060"/>
      <c r="L5" s="2060"/>
      <c r="M5" s="412"/>
    </row>
    <row r="7" spans="1:13" ht="18.75" customHeight="1">
      <c r="A7" s="840" t="s">
        <v>987</v>
      </c>
      <c r="B7" s="815"/>
    </row>
    <row r="8" spans="1:13" ht="13.8" thickBot="1">
      <c r="A8" s="816"/>
      <c r="K8" s="1863"/>
      <c r="L8" s="1863"/>
    </row>
    <row r="9" spans="1:13" ht="25.5" customHeight="1">
      <c r="A9" s="842" t="s">
        <v>560</v>
      </c>
      <c r="B9" s="843" t="s">
        <v>559</v>
      </c>
      <c r="C9" s="844" t="s">
        <v>8</v>
      </c>
      <c r="D9" s="843" t="s">
        <v>313</v>
      </c>
      <c r="E9" s="844" t="s">
        <v>8</v>
      </c>
      <c r="F9" s="843" t="s">
        <v>313</v>
      </c>
      <c r="G9" s="844" t="s">
        <v>8</v>
      </c>
      <c r="H9" s="843" t="s">
        <v>313</v>
      </c>
      <c r="I9" s="844" t="s">
        <v>8</v>
      </c>
      <c r="J9" s="841" t="s">
        <v>313</v>
      </c>
      <c r="K9" s="1201"/>
      <c r="L9" s="1202"/>
    </row>
    <row r="10" spans="1:13" ht="13.8">
      <c r="A10" s="835">
        <v>9</v>
      </c>
      <c r="B10" s="830">
        <v>8</v>
      </c>
      <c r="C10" s="1556">
        <v>25</v>
      </c>
      <c r="D10" s="830">
        <v>9</v>
      </c>
      <c r="E10" s="1169"/>
      <c r="F10" s="830"/>
      <c r="G10" s="1163"/>
      <c r="H10" s="830"/>
      <c r="I10" s="1163"/>
      <c r="J10" s="1203"/>
      <c r="K10" s="1475"/>
      <c r="L10" s="1014"/>
    </row>
    <row r="11" spans="1:13" ht="13.8">
      <c r="A11" s="835">
        <v>10</v>
      </c>
      <c r="B11" s="830">
        <v>10</v>
      </c>
      <c r="C11" s="1556">
        <v>60</v>
      </c>
      <c r="D11" s="830">
        <v>10</v>
      </c>
      <c r="E11" s="1163"/>
      <c r="F11" s="830"/>
      <c r="G11" s="1163"/>
      <c r="H11" s="1476"/>
      <c r="I11" s="1163"/>
      <c r="J11" s="1203"/>
      <c r="K11" s="1475"/>
      <c r="L11" s="1014"/>
    </row>
    <row r="12" spans="1:13" ht="13.8">
      <c r="A12" s="835">
        <v>10</v>
      </c>
      <c r="B12" s="830">
        <v>10</v>
      </c>
      <c r="C12" s="1556">
        <v>25</v>
      </c>
      <c r="D12" s="830">
        <v>5</v>
      </c>
      <c r="E12" s="1163">
        <v>26</v>
      </c>
      <c r="F12" s="830">
        <v>5</v>
      </c>
      <c r="G12" s="1163"/>
      <c r="H12" s="830"/>
      <c r="I12" s="1163"/>
      <c r="J12" s="1203"/>
      <c r="K12" s="1475"/>
      <c r="L12" s="1014"/>
    </row>
    <row r="13" spans="1:13" ht="13.8">
      <c r="A13" s="835">
        <v>10</v>
      </c>
      <c r="B13" s="830">
        <v>9</v>
      </c>
      <c r="C13" s="1163">
        <v>19</v>
      </c>
      <c r="D13" s="830">
        <v>6</v>
      </c>
      <c r="E13" s="1557">
        <v>70</v>
      </c>
      <c r="F13" s="830">
        <v>4</v>
      </c>
      <c r="G13" s="1163"/>
      <c r="H13" s="830"/>
      <c r="I13" s="1163" t="s">
        <v>530</v>
      </c>
      <c r="J13" s="1204" t="s">
        <v>530</v>
      </c>
      <c r="K13" s="1475"/>
      <c r="L13" s="1014"/>
    </row>
    <row r="14" spans="1:13" ht="13.8">
      <c r="A14" s="835">
        <v>11</v>
      </c>
      <c r="B14" s="830">
        <v>10</v>
      </c>
      <c r="C14" s="1163">
        <v>25</v>
      </c>
      <c r="D14" s="830">
        <v>5</v>
      </c>
      <c r="E14" s="1556">
        <v>26</v>
      </c>
      <c r="F14" s="830">
        <v>6</v>
      </c>
      <c r="G14" s="1169"/>
      <c r="H14" s="830"/>
      <c r="I14" s="1169"/>
      <c r="J14" s="1203"/>
      <c r="K14" s="1475"/>
      <c r="L14" s="1014"/>
    </row>
    <row r="15" spans="1:13" ht="13.8">
      <c r="A15" s="835">
        <v>11</v>
      </c>
      <c r="B15" s="830">
        <v>10</v>
      </c>
      <c r="C15" s="1557">
        <v>25</v>
      </c>
      <c r="D15" s="830">
        <v>7</v>
      </c>
      <c r="E15" s="1169">
        <v>26</v>
      </c>
      <c r="F15" s="830">
        <v>4</v>
      </c>
      <c r="G15" s="1163"/>
      <c r="H15" s="830"/>
      <c r="I15" s="1163"/>
      <c r="J15" s="1203"/>
      <c r="K15" s="1475"/>
      <c r="L15" s="1014"/>
    </row>
    <row r="16" spans="1:13" ht="13.8">
      <c r="A16" s="835">
        <v>11</v>
      </c>
      <c r="B16" s="830">
        <v>10</v>
      </c>
      <c r="C16" s="1163">
        <v>25</v>
      </c>
      <c r="D16" s="830">
        <v>6</v>
      </c>
      <c r="E16" s="1557">
        <v>26</v>
      </c>
      <c r="F16" s="830">
        <v>5</v>
      </c>
      <c r="G16" s="1163"/>
      <c r="H16" s="830"/>
      <c r="I16" s="1163"/>
      <c r="J16" s="1203"/>
      <c r="K16" s="1475"/>
      <c r="L16" s="1014"/>
    </row>
    <row r="17" spans="1:14" ht="13.8">
      <c r="A17" s="835">
        <v>11</v>
      </c>
      <c r="B17" s="830">
        <v>11</v>
      </c>
      <c r="C17" s="1163">
        <v>10</v>
      </c>
      <c r="D17" s="830">
        <v>2</v>
      </c>
      <c r="E17" s="1557">
        <v>11</v>
      </c>
      <c r="F17" s="830">
        <v>7</v>
      </c>
      <c r="G17" s="1163">
        <v>12</v>
      </c>
      <c r="H17" s="830">
        <v>2</v>
      </c>
      <c r="I17" s="1163"/>
      <c r="J17" s="1203"/>
      <c r="K17" s="1475"/>
      <c r="L17" s="1014"/>
    </row>
    <row r="18" spans="1:14" ht="13.8">
      <c r="A18" s="835">
        <v>12</v>
      </c>
      <c r="B18" s="830">
        <v>11</v>
      </c>
      <c r="C18" s="1163">
        <v>25</v>
      </c>
      <c r="D18" s="830">
        <v>7</v>
      </c>
      <c r="E18" s="1557">
        <v>26</v>
      </c>
      <c r="F18" s="830">
        <v>5</v>
      </c>
      <c r="G18" s="1163"/>
      <c r="H18" s="1164"/>
      <c r="I18" s="1163"/>
      <c r="J18" s="1203"/>
      <c r="K18" s="1475"/>
      <c r="L18" s="1014"/>
    </row>
    <row r="19" spans="1:14" ht="13.8">
      <c r="A19" s="835">
        <v>13</v>
      </c>
      <c r="B19" s="830">
        <v>13</v>
      </c>
      <c r="C19" s="1556" t="s">
        <v>21</v>
      </c>
      <c r="D19" s="830">
        <v>12</v>
      </c>
      <c r="E19" s="1169" t="s">
        <v>25</v>
      </c>
      <c r="F19" s="830">
        <v>1</v>
      </c>
      <c r="G19" s="1163"/>
      <c r="H19" s="830"/>
      <c r="I19" s="1163"/>
      <c r="J19" s="1205"/>
      <c r="K19" s="1475"/>
      <c r="L19" s="1014"/>
    </row>
    <row r="20" spans="1:14" ht="14.4" thickBot="1">
      <c r="A20" s="845">
        <v>13</v>
      </c>
      <c r="B20" s="1166">
        <v>11</v>
      </c>
      <c r="C20" s="1558">
        <v>19</v>
      </c>
      <c r="D20" s="1166">
        <v>12</v>
      </c>
      <c r="E20" s="1165">
        <v>17</v>
      </c>
      <c r="F20" s="1166">
        <v>1</v>
      </c>
      <c r="G20" s="1165"/>
      <c r="H20" s="1166"/>
      <c r="I20" s="1165" t="s">
        <v>530</v>
      </c>
      <c r="J20" s="1206" t="s">
        <v>530</v>
      </c>
      <c r="K20" s="1475"/>
      <c r="L20" s="1014"/>
    </row>
    <row r="21" spans="1:14">
      <c r="A21" s="863" t="str">
        <f>'fiche technique'!A14</f>
        <v>Source: GALAXIE (ANTEE), DGRH A1-1 &amp; DGRH A2, juin 2014</v>
      </c>
    </row>
    <row r="22" spans="1:14">
      <c r="A22" s="180" t="s">
        <v>1031</v>
      </c>
    </row>
    <row r="23" spans="1:14">
      <c r="A23" s="180"/>
    </row>
    <row r="24" spans="1:14" ht="18.75" customHeight="1" thickBot="1">
      <c r="A24" s="840" t="s">
        <v>741</v>
      </c>
      <c r="B24" s="815"/>
    </row>
    <row r="25" spans="1:14" ht="13.8" thickBot="1">
      <c r="M25" s="2063" t="s">
        <v>582</v>
      </c>
      <c r="N25" s="2064"/>
    </row>
    <row r="26" spans="1:14" ht="25.5" customHeight="1">
      <c r="A26" s="842" t="s">
        <v>560</v>
      </c>
      <c r="B26" s="843" t="s">
        <v>559</v>
      </c>
      <c r="C26" s="844" t="s">
        <v>8</v>
      </c>
      <c r="D26" s="843" t="s">
        <v>313</v>
      </c>
      <c r="E26" s="844" t="s">
        <v>8</v>
      </c>
      <c r="F26" s="843" t="s">
        <v>313</v>
      </c>
      <c r="G26" s="847" t="s">
        <v>8</v>
      </c>
      <c r="H26" s="843" t="s">
        <v>313</v>
      </c>
      <c r="I26" s="844" t="s">
        <v>8</v>
      </c>
      <c r="J26" s="843" t="s">
        <v>313</v>
      </c>
      <c r="K26" s="844" t="s">
        <v>8</v>
      </c>
      <c r="L26" s="841" t="s">
        <v>313</v>
      </c>
      <c r="M26" s="844" t="s">
        <v>972</v>
      </c>
      <c r="N26" s="841" t="s">
        <v>313</v>
      </c>
    </row>
    <row r="27" spans="1:14">
      <c r="A27" s="848">
        <v>45</v>
      </c>
      <c r="B27" s="1167">
        <v>23</v>
      </c>
      <c r="C27" s="1478" t="s">
        <v>9</v>
      </c>
      <c r="D27" s="1167">
        <v>44</v>
      </c>
      <c r="E27" s="1168">
        <v>86</v>
      </c>
      <c r="F27" s="1167">
        <v>1</v>
      </c>
      <c r="G27" s="1168"/>
      <c r="H27" s="1167"/>
      <c r="I27" s="1168"/>
      <c r="J27" s="1167"/>
      <c r="K27" s="849"/>
      <c r="L27" s="821"/>
      <c r="M27" s="818" t="s">
        <v>530</v>
      </c>
      <c r="N27" s="1171" t="s">
        <v>530</v>
      </c>
    </row>
    <row r="28" spans="1:14">
      <c r="A28" s="835">
        <v>45</v>
      </c>
      <c r="B28" s="830">
        <v>22</v>
      </c>
      <c r="C28" s="1555" t="s">
        <v>9</v>
      </c>
      <c r="D28" s="830">
        <v>44</v>
      </c>
      <c r="E28" s="1169">
        <v>11</v>
      </c>
      <c r="F28" s="830">
        <v>1</v>
      </c>
      <c r="G28" s="1163"/>
      <c r="H28" s="830"/>
      <c r="I28" s="1163"/>
      <c r="J28" s="830"/>
      <c r="K28" s="829" t="s">
        <v>530</v>
      </c>
      <c r="L28" s="820" t="s">
        <v>530</v>
      </c>
      <c r="M28" s="819" t="s">
        <v>530</v>
      </c>
      <c r="N28" s="820" t="s">
        <v>530</v>
      </c>
    </row>
    <row r="29" spans="1:14">
      <c r="A29" s="1926">
        <v>46</v>
      </c>
      <c r="B29" s="830">
        <v>28</v>
      </c>
      <c r="C29" s="1169" t="s">
        <v>15</v>
      </c>
      <c r="D29" s="1954">
        <v>7</v>
      </c>
      <c r="E29" s="829">
        <v>19</v>
      </c>
      <c r="F29" s="1955">
        <v>20</v>
      </c>
      <c r="G29" s="1163">
        <v>70</v>
      </c>
      <c r="H29" s="830">
        <v>14</v>
      </c>
      <c r="I29" s="846">
        <v>74</v>
      </c>
      <c r="J29" s="830">
        <v>5</v>
      </c>
      <c r="K29" s="829"/>
      <c r="L29" s="820"/>
      <c r="M29" s="819" t="s">
        <v>530</v>
      </c>
      <c r="N29" s="820" t="s">
        <v>530</v>
      </c>
    </row>
    <row r="30" spans="1:14">
      <c r="A30" s="835">
        <v>47</v>
      </c>
      <c r="B30" s="830">
        <v>23</v>
      </c>
      <c r="C30" s="1555" t="s">
        <v>9</v>
      </c>
      <c r="D30" s="830">
        <v>47</v>
      </c>
      <c r="E30" s="1169"/>
      <c r="F30" s="830"/>
      <c r="G30" s="1163"/>
      <c r="H30" s="830"/>
      <c r="I30" s="1163"/>
      <c r="J30" s="830"/>
      <c r="K30" s="829"/>
      <c r="L30" s="820"/>
      <c r="M30" s="819" t="s">
        <v>530</v>
      </c>
      <c r="N30" s="820" t="s">
        <v>530</v>
      </c>
    </row>
    <row r="31" spans="1:14">
      <c r="A31" s="835">
        <v>47</v>
      </c>
      <c r="B31" s="830">
        <v>22</v>
      </c>
      <c r="C31" s="1169" t="s">
        <v>17</v>
      </c>
      <c r="D31" s="830">
        <v>1</v>
      </c>
      <c r="E31" s="1555" t="s">
        <v>19</v>
      </c>
      <c r="F31" s="830">
        <v>46</v>
      </c>
      <c r="G31" s="1163"/>
      <c r="H31" s="830"/>
      <c r="I31" s="1163"/>
      <c r="J31" s="830"/>
      <c r="K31" s="829" t="s">
        <v>530</v>
      </c>
      <c r="L31" s="820" t="s">
        <v>530</v>
      </c>
      <c r="M31" s="819" t="s">
        <v>530</v>
      </c>
      <c r="N31" s="820" t="s">
        <v>530</v>
      </c>
    </row>
    <row r="32" spans="1:14">
      <c r="A32" s="835">
        <v>50</v>
      </c>
      <c r="B32" s="830">
        <v>29</v>
      </c>
      <c r="C32" s="1555" t="s">
        <v>9</v>
      </c>
      <c r="D32" s="830">
        <v>50</v>
      </c>
      <c r="E32" s="1169"/>
      <c r="F32" s="830"/>
      <c r="G32" s="1163"/>
      <c r="H32" s="830"/>
      <c r="I32" s="1163"/>
      <c r="J32" s="830"/>
      <c r="K32" s="829"/>
      <c r="L32" s="820"/>
      <c r="M32" s="819" t="s">
        <v>530</v>
      </c>
      <c r="N32" s="820" t="s">
        <v>530</v>
      </c>
    </row>
    <row r="33" spans="1:14">
      <c r="A33" s="835">
        <v>51</v>
      </c>
      <c r="B33" s="830">
        <v>29</v>
      </c>
      <c r="C33" s="1555" t="s">
        <v>9</v>
      </c>
      <c r="D33" s="830">
        <v>51</v>
      </c>
      <c r="E33" s="1169"/>
      <c r="F33" s="830"/>
      <c r="G33" s="1163"/>
      <c r="H33" s="830"/>
      <c r="I33" s="1163"/>
      <c r="J33" s="830"/>
      <c r="K33" s="829" t="s">
        <v>530</v>
      </c>
      <c r="L33" s="820" t="s">
        <v>530</v>
      </c>
      <c r="M33" s="819" t="s">
        <v>530</v>
      </c>
      <c r="N33" s="820" t="s">
        <v>530</v>
      </c>
    </row>
    <row r="34" spans="1:14">
      <c r="A34" s="835">
        <v>53</v>
      </c>
      <c r="B34" s="830">
        <v>29</v>
      </c>
      <c r="C34" s="1555" t="s">
        <v>9</v>
      </c>
      <c r="D34" s="830">
        <v>53</v>
      </c>
      <c r="E34" s="1163"/>
      <c r="F34" s="830"/>
      <c r="G34" s="1163"/>
      <c r="H34" s="830"/>
      <c r="I34" s="1163"/>
      <c r="J34" s="830"/>
      <c r="K34" s="829" t="s">
        <v>530</v>
      </c>
      <c r="L34" s="820" t="s">
        <v>530</v>
      </c>
      <c r="M34" s="1172" t="s">
        <v>530</v>
      </c>
      <c r="N34" s="1173" t="s">
        <v>530</v>
      </c>
    </row>
    <row r="35" spans="1:14">
      <c r="A35" s="835">
        <v>55</v>
      </c>
      <c r="B35" s="830">
        <v>32</v>
      </c>
      <c r="C35" s="1555" t="s">
        <v>9</v>
      </c>
      <c r="D35" s="830">
        <v>55</v>
      </c>
      <c r="E35" s="1163"/>
      <c r="F35" s="830"/>
      <c r="G35" s="1163"/>
      <c r="H35" s="830"/>
      <c r="I35" s="1163"/>
      <c r="J35" s="830"/>
      <c r="K35" s="829" t="s">
        <v>530</v>
      </c>
      <c r="L35" s="820" t="s">
        <v>530</v>
      </c>
      <c r="M35" s="1172" t="s">
        <v>530</v>
      </c>
      <c r="N35" s="1173" t="s">
        <v>530</v>
      </c>
    </row>
    <row r="36" spans="1:14">
      <c r="A36" s="835">
        <v>56</v>
      </c>
      <c r="B36" s="830">
        <v>36</v>
      </c>
      <c r="C36" s="1169" t="s">
        <v>17</v>
      </c>
      <c r="D36" s="830">
        <v>1</v>
      </c>
      <c r="E36" s="1555" t="s">
        <v>19</v>
      </c>
      <c r="F36" s="830">
        <v>54</v>
      </c>
      <c r="G36" s="1163">
        <v>61</v>
      </c>
      <c r="H36" s="830">
        <v>1</v>
      </c>
      <c r="I36" s="1163"/>
      <c r="J36" s="830"/>
      <c r="K36" s="829" t="s">
        <v>530</v>
      </c>
      <c r="L36" s="820" t="s">
        <v>530</v>
      </c>
      <c r="M36" s="1172" t="s">
        <v>530</v>
      </c>
      <c r="N36" s="1173" t="s">
        <v>530</v>
      </c>
    </row>
    <row r="37" spans="1:14">
      <c r="A37" s="835">
        <v>57</v>
      </c>
      <c r="B37" s="830">
        <v>32</v>
      </c>
      <c r="C37" s="1555" t="s">
        <v>9</v>
      </c>
      <c r="D37" s="830">
        <v>57</v>
      </c>
      <c r="E37" s="1163"/>
      <c r="F37" s="830"/>
      <c r="G37" s="1163"/>
      <c r="H37" s="830"/>
      <c r="I37" s="1163"/>
      <c r="J37" s="830"/>
      <c r="K37" s="829"/>
      <c r="L37" s="820"/>
      <c r="M37" s="1172"/>
      <c r="N37" s="1173"/>
    </row>
    <row r="38" spans="1:14">
      <c r="A38" s="835">
        <v>59</v>
      </c>
      <c r="B38" s="830">
        <v>36</v>
      </c>
      <c r="C38" s="1169" t="s">
        <v>17</v>
      </c>
      <c r="D38" s="830">
        <v>1</v>
      </c>
      <c r="E38" s="1555" t="s">
        <v>19</v>
      </c>
      <c r="F38" s="830">
        <v>57</v>
      </c>
      <c r="G38" s="1163">
        <v>61</v>
      </c>
      <c r="H38" s="830">
        <v>1</v>
      </c>
      <c r="I38" s="1163"/>
      <c r="J38" s="830"/>
      <c r="K38" s="829" t="s">
        <v>530</v>
      </c>
      <c r="L38" s="820" t="s">
        <v>530</v>
      </c>
      <c r="M38" s="1172" t="s">
        <v>530</v>
      </c>
      <c r="N38" s="1173" t="s">
        <v>530</v>
      </c>
    </row>
    <row r="39" spans="1:14">
      <c r="A39" s="835">
        <v>65</v>
      </c>
      <c r="B39" s="830">
        <v>34</v>
      </c>
      <c r="C39" s="1555" t="s">
        <v>9</v>
      </c>
      <c r="D39" s="830">
        <v>65</v>
      </c>
      <c r="E39" s="1169"/>
      <c r="F39" s="830"/>
      <c r="G39" s="1163"/>
      <c r="H39" s="830"/>
      <c r="I39" s="1163"/>
      <c r="J39" s="830"/>
      <c r="K39" s="829" t="s">
        <v>530</v>
      </c>
      <c r="L39" s="820" t="s">
        <v>530</v>
      </c>
      <c r="M39" s="1172" t="s">
        <v>530</v>
      </c>
      <c r="N39" s="1173" t="s">
        <v>530</v>
      </c>
    </row>
    <row r="40" spans="1:14" ht="13.8" thickBot="1">
      <c r="A40" s="836" t="s">
        <v>740</v>
      </c>
      <c r="B40" s="837">
        <v>41</v>
      </c>
      <c r="C40" s="1170" t="s">
        <v>17</v>
      </c>
      <c r="D40" s="1554">
        <v>2</v>
      </c>
      <c r="E40" s="1559" t="s">
        <v>19</v>
      </c>
      <c r="F40" s="837">
        <v>71</v>
      </c>
      <c r="G40" s="1170">
        <v>16</v>
      </c>
      <c r="H40" s="837">
        <v>1</v>
      </c>
      <c r="I40" s="1477">
        <v>61</v>
      </c>
      <c r="J40" s="837">
        <v>1</v>
      </c>
      <c r="K40" s="850">
        <v>71</v>
      </c>
      <c r="L40" s="822">
        <v>10</v>
      </c>
      <c r="M40" s="838"/>
      <c r="N40" s="822"/>
    </row>
    <row r="41" spans="1:14">
      <c r="A41" s="863" t="str">
        <f>'fiche technique'!A14</f>
        <v>Source: GALAXIE (ANTEE), DGRH A1-1 &amp; DGRH A2, juin 2014</v>
      </c>
      <c r="H41" s="1014"/>
    </row>
    <row r="42" spans="1:14">
      <c r="A42" s="823"/>
      <c r="B42" s="815" t="s">
        <v>554</v>
      </c>
    </row>
    <row r="43" spans="1:14" ht="35.25" customHeight="1">
      <c r="A43" s="2062" t="s">
        <v>976</v>
      </c>
      <c r="B43" s="2062"/>
      <c r="C43" s="2062"/>
      <c r="D43" s="2062"/>
      <c r="E43" s="2062"/>
      <c r="F43" s="2062"/>
      <c r="G43" s="2062"/>
      <c r="H43" s="2062"/>
      <c r="I43" s="2062"/>
      <c r="J43" s="2062"/>
      <c r="K43" s="2062"/>
      <c r="L43" s="2062"/>
      <c r="M43" s="2062"/>
      <c r="N43" s="2062"/>
    </row>
  </sheetData>
  <mergeCells count="4">
    <mergeCell ref="E1:F1"/>
    <mergeCell ref="A5:L5"/>
    <mergeCell ref="A43:N43"/>
    <mergeCell ref="M25:N25"/>
  </mergeCells>
  <printOptions horizontalCentered="1"/>
  <pageMargins left="0.39370078740157483" right="0.39370078740157483" top="0.59055118110236227" bottom="0.19685039370078741" header="0.31496062992125984" footer="0.11811023622047245"/>
  <pageSetup paperSize="9" scale="80" orientation="landscape" r:id="rId1"/>
  <headerFooter alignWithMargins="0">
    <oddHeader>&amp;LDGRH A1-1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Feuil12" enableFormatConditionsCalculation="0">
    <tabColor rgb="FF00B050"/>
  </sheetPr>
  <dimension ref="A1:Q803"/>
  <sheetViews>
    <sheetView topLeftCell="A21" workbookViewId="0">
      <selection activeCell="L18" sqref="L18"/>
    </sheetView>
  </sheetViews>
  <sheetFormatPr baseColWidth="10" defaultColWidth="10.33203125" defaultRowHeight="13.2"/>
  <cols>
    <col min="1" max="16384" width="10.33203125" style="272"/>
  </cols>
  <sheetData>
    <row r="1" spans="2:8" ht="18" customHeight="1">
      <c r="B1" s="271"/>
      <c r="C1" s="271"/>
      <c r="D1" s="271"/>
    </row>
    <row r="2" spans="2:8">
      <c r="B2" s="273"/>
      <c r="C2" s="273"/>
      <c r="D2" s="273"/>
    </row>
    <row r="3" spans="2:8">
      <c r="B3" s="273"/>
      <c r="C3" s="273"/>
      <c r="D3" s="273"/>
    </row>
    <row r="4" spans="2:8">
      <c r="B4" s="273"/>
      <c r="C4" s="273"/>
      <c r="D4" s="273"/>
    </row>
    <row r="5" spans="2:8">
      <c r="B5" s="273"/>
      <c r="C5" s="273"/>
      <c r="D5" s="273"/>
      <c r="G5" s="273"/>
      <c r="H5" s="273"/>
    </row>
    <row r="6" spans="2:8">
      <c r="B6" s="273"/>
      <c r="C6" s="273"/>
      <c r="D6" s="273"/>
    </row>
    <row r="7" spans="2:8">
      <c r="B7" s="273"/>
      <c r="C7" s="273"/>
      <c r="D7" s="273"/>
    </row>
    <row r="8" spans="2:8">
      <c r="B8" s="273"/>
      <c r="C8" s="273"/>
      <c r="D8" s="273"/>
    </row>
    <row r="9" spans="2:8">
      <c r="B9" s="273"/>
      <c r="C9" s="273"/>
      <c r="D9" s="273"/>
    </row>
    <row r="10" spans="2:8">
      <c r="B10" s="273"/>
      <c r="C10" s="273"/>
      <c r="D10" s="273"/>
    </row>
    <row r="11" spans="2:8">
      <c r="B11" s="273"/>
      <c r="C11" s="273"/>
      <c r="D11" s="273"/>
    </row>
    <row r="12" spans="2:8">
      <c r="B12" s="273"/>
      <c r="C12" s="273"/>
      <c r="D12" s="273"/>
    </row>
    <row r="13" spans="2:8">
      <c r="B13" s="273"/>
      <c r="C13" s="273"/>
      <c r="D13" s="273"/>
    </row>
    <row r="14" spans="2:8">
      <c r="B14" s="273"/>
      <c r="C14" s="273"/>
      <c r="D14" s="273"/>
    </row>
    <row r="15" spans="2:8">
      <c r="B15" s="273"/>
      <c r="C15" s="273"/>
      <c r="D15" s="273"/>
    </row>
    <row r="16" spans="2:8">
      <c r="B16" s="273"/>
      <c r="C16" s="273"/>
      <c r="D16" s="273"/>
    </row>
    <row r="17" spans="1:17">
      <c r="B17" s="273"/>
      <c r="C17" s="273"/>
      <c r="D17" s="273"/>
    </row>
    <row r="18" spans="1:17">
      <c r="B18" s="273"/>
      <c r="C18" s="273"/>
      <c r="D18" s="273"/>
    </row>
    <row r="19" spans="1:17">
      <c r="B19" s="273"/>
      <c r="C19" s="273"/>
      <c r="D19" s="273"/>
      <c r="O19" s="1938"/>
    </row>
    <row r="20" spans="1:17" ht="13.8" thickBot="1">
      <c r="B20" s="273"/>
      <c r="C20" s="1936"/>
      <c r="D20" s="1936"/>
      <c r="E20" s="1936"/>
      <c r="F20" s="1936"/>
      <c r="G20" s="1936"/>
      <c r="H20" s="1936"/>
    </row>
    <row r="21" spans="1:17" ht="23.25" customHeight="1" thickTop="1">
      <c r="B21" s="1939"/>
      <c r="C21" s="2065" t="s">
        <v>539</v>
      </c>
      <c r="D21" s="2065"/>
      <c r="E21" s="2065"/>
      <c r="F21" s="2065"/>
      <c r="G21" s="2065"/>
      <c r="H21" s="1940"/>
    </row>
    <row r="22" spans="1:17" ht="16.5" customHeight="1" thickBot="1">
      <c r="B22" s="2066" t="s">
        <v>544</v>
      </c>
      <c r="C22" s="2067"/>
      <c r="D22" s="2067"/>
      <c r="E22" s="2067"/>
      <c r="F22" s="2067"/>
      <c r="G22" s="2067"/>
      <c r="H22" s="2068"/>
    </row>
    <row r="23" spans="1:17" ht="20.25" customHeight="1" thickTop="1">
      <c r="B23" s="1883"/>
      <c r="C23" s="1883"/>
      <c r="D23" s="1883"/>
      <c r="E23" s="1933"/>
      <c r="F23" s="1933"/>
      <c r="G23" s="1933"/>
      <c r="H23" s="1933"/>
      <c r="I23" s="1933"/>
      <c r="O23" s="1937"/>
    </row>
    <row r="24" spans="1:17" ht="20.25" customHeight="1">
      <c r="B24" s="1934"/>
      <c r="C24" s="1934"/>
      <c r="D24" s="1934"/>
      <c r="E24" s="1935"/>
      <c r="F24" s="1935"/>
      <c r="G24" s="1935"/>
      <c r="H24" s="1935"/>
      <c r="I24" s="1935"/>
      <c r="Q24" s="1938"/>
    </row>
    <row r="25" spans="1:17">
      <c r="B25" s="274"/>
      <c r="C25" s="274"/>
      <c r="D25" s="274"/>
    </row>
    <row r="26" spans="1:17">
      <c r="B26" s="274"/>
      <c r="C26" s="274"/>
      <c r="D26" s="274"/>
    </row>
    <row r="27" spans="1:17" ht="21.75" customHeight="1">
      <c r="B27" s="273"/>
      <c r="C27" s="2069" t="s">
        <v>716</v>
      </c>
      <c r="D27" s="2070"/>
      <c r="E27" s="2070"/>
      <c r="F27" s="2070"/>
      <c r="G27" s="2070"/>
    </row>
    <row r="28" spans="1:17" ht="19.5" customHeight="1">
      <c r="B28" s="1881"/>
      <c r="C28" s="1882"/>
      <c r="D28" s="1882"/>
      <c r="E28" s="1857"/>
      <c r="F28" s="1857"/>
      <c r="G28" s="1857"/>
      <c r="H28" s="1857"/>
      <c r="I28" s="1857"/>
    </row>
    <row r="29" spans="1:17">
      <c r="A29" s="1919"/>
      <c r="B29" s="273"/>
      <c r="C29" s="273"/>
      <c r="D29" s="273"/>
      <c r="E29" s="1919"/>
      <c r="F29" s="1919"/>
    </row>
    <row r="30" spans="1:17">
      <c r="B30" s="273"/>
      <c r="C30" s="273"/>
      <c r="D30" s="273"/>
    </row>
    <row r="31" spans="1:17" ht="15.6">
      <c r="B31" s="273"/>
      <c r="C31" s="273"/>
      <c r="D31" s="273"/>
      <c r="E31" s="276"/>
    </row>
    <row r="32" spans="1:17">
      <c r="B32" s="273"/>
      <c r="C32" s="660" t="s">
        <v>321</v>
      </c>
      <c r="D32" s="273"/>
    </row>
    <row r="33" spans="2:9">
      <c r="B33" s="273"/>
      <c r="C33" s="661" t="s">
        <v>543</v>
      </c>
      <c r="D33" s="273"/>
    </row>
    <row r="34" spans="2:9">
      <c r="B34" s="273"/>
      <c r="C34" s="661" t="s">
        <v>381</v>
      </c>
      <c r="D34" s="273"/>
    </row>
    <row r="35" spans="2:9">
      <c r="B35" s="273"/>
      <c r="C35" s="660" t="s">
        <v>322</v>
      </c>
      <c r="D35" s="273"/>
    </row>
    <row r="36" spans="2:9">
      <c r="B36" s="273"/>
      <c r="C36" s="662" t="s">
        <v>323</v>
      </c>
      <c r="D36" s="273"/>
    </row>
    <row r="37" spans="2:9">
      <c r="B37" s="273"/>
      <c r="C37" s="663" t="s">
        <v>380</v>
      </c>
      <c r="D37" s="279"/>
      <c r="E37" s="280"/>
      <c r="F37" s="280"/>
      <c r="G37" s="280"/>
      <c r="H37" s="280"/>
      <c r="I37" s="280"/>
    </row>
    <row r="38" spans="2:9">
      <c r="B38" s="273"/>
      <c r="C38" s="374"/>
      <c r="D38" s="273"/>
    </row>
    <row r="39" spans="2:9">
      <c r="B39" s="273"/>
      <c r="C39" s="273"/>
      <c r="D39" s="273"/>
    </row>
    <row r="40" spans="2:9" ht="13.5" customHeight="1">
      <c r="B40" s="273"/>
      <c r="C40" s="273"/>
      <c r="D40" s="273"/>
    </row>
    <row r="41" spans="2:9">
      <c r="B41" s="273"/>
      <c r="C41" s="273"/>
      <c r="D41" s="273"/>
    </row>
    <row r="42" spans="2:9">
      <c r="B42" s="273"/>
      <c r="C42" s="273"/>
      <c r="D42" s="273"/>
    </row>
    <row r="43" spans="2:9">
      <c r="B43" s="273"/>
      <c r="C43" s="273"/>
      <c r="D43" s="273"/>
    </row>
    <row r="44" spans="2:9">
      <c r="B44" s="273"/>
      <c r="C44" s="273"/>
      <c r="D44" s="273"/>
    </row>
    <row r="45" spans="2:9">
      <c r="B45" s="273"/>
      <c r="C45" s="273"/>
      <c r="D45" s="273"/>
    </row>
    <row r="46" spans="2:9">
      <c r="B46" s="273"/>
      <c r="C46" s="273"/>
      <c r="D46" s="273"/>
    </row>
    <row r="47" spans="2:9">
      <c r="B47" s="273"/>
      <c r="C47" s="273"/>
      <c r="D47" s="273"/>
    </row>
    <row r="48" spans="2:9">
      <c r="B48" s="273"/>
      <c r="C48" s="273"/>
      <c r="D48" s="273"/>
    </row>
    <row r="49" spans="1:9">
      <c r="B49" s="273"/>
      <c r="C49" s="273"/>
      <c r="D49" s="273"/>
      <c r="F49" s="1856"/>
      <c r="G49" s="1856"/>
      <c r="H49" s="1856"/>
    </row>
    <row r="50" spans="1:9" ht="18.75" customHeight="1">
      <c r="A50" s="1950"/>
      <c r="B50" s="1991" t="s">
        <v>324</v>
      </c>
      <c r="C50" s="1991"/>
      <c r="D50" s="1991"/>
      <c r="E50" s="1991"/>
      <c r="F50" s="1991"/>
      <c r="G50" s="1991"/>
      <c r="H50" s="1991"/>
      <c r="I50" s="1855"/>
    </row>
    <row r="51" spans="1:9" ht="16.5" customHeight="1">
      <c r="A51" s="1950"/>
      <c r="B51" s="1991" t="s">
        <v>325</v>
      </c>
      <c r="C51" s="1991"/>
      <c r="D51" s="1991"/>
      <c r="E51" s="1991"/>
      <c r="F51" s="1991"/>
      <c r="G51" s="1991"/>
      <c r="H51" s="1991"/>
      <c r="I51" s="1857"/>
    </row>
    <row r="52" spans="1:9" ht="14.25" customHeight="1">
      <c r="A52" s="1950"/>
      <c r="B52" s="1991" t="s">
        <v>326</v>
      </c>
      <c r="C52" s="1991"/>
      <c r="D52" s="1991"/>
      <c r="E52" s="1991"/>
      <c r="F52" s="1991"/>
      <c r="G52" s="1991"/>
      <c r="H52" s="1991"/>
      <c r="I52" s="1855"/>
    </row>
    <row r="53" spans="1:9" ht="16.5" customHeight="1">
      <c r="A53" s="1950"/>
      <c r="B53" s="1991" t="s">
        <v>958</v>
      </c>
      <c r="C53" s="1991"/>
      <c r="D53" s="1991"/>
      <c r="E53" s="1991"/>
      <c r="F53" s="1991"/>
      <c r="G53" s="1991"/>
      <c r="H53" s="1991"/>
      <c r="I53" s="1855"/>
    </row>
    <row r="54" spans="1:9" ht="19.5" customHeight="1">
      <c r="B54" s="1854"/>
      <c r="C54" s="1855"/>
      <c r="D54" s="1855"/>
      <c r="E54" s="1855"/>
      <c r="F54" s="1855"/>
      <c r="G54" s="1855"/>
      <c r="H54" s="1855"/>
      <c r="I54" s="1855"/>
    </row>
    <row r="55" spans="1:9" ht="19.5" customHeight="1">
      <c r="B55" s="1854"/>
      <c r="C55" s="1855"/>
      <c r="D55" s="1991" t="s">
        <v>988</v>
      </c>
      <c r="E55" s="1992"/>
      <c r="F55" s="1855"/>
      <c r="G55" s="1855"/>
      <c r="H55" s="1855"/>
      <c r="I55" s="1855"/>
    </row>
    <row r="56" spans="1:9" ht="19.5" customHeight="1">
      <c r="A56" s="1885"/>
      <c r="B56" s="1885"/>
      <c r="C56" s="1885"/>
      <c r="D56" s="1885"/>
      <c r="E56" s="1885"/>
      <c r="F56" s="1885"/>
      <c r="G56" s="1885"/>
      <c r="H56" s="1885"/>
      <c r="I56" s="1885"/>
    </row>
    <row r="57" spans="1:9" ht="19.5" customHeight="1">
      <c r="B57" s="1803"/>
      <c r="C57" s="1803"/>
      <c r="D57" s="1803"/>
      <c r="E57" s="1803"/>
      <c r="F57" s="1803"/>
      <c r="G57" s="1803"/>
      <c r="H57" s="1803"/>
      <c r="I57" s="1803"/>
    </row>
    <row r="58" spans="1:9">
      <c r="B58" s="273"/>
      <c r="C58" s="273"/>
      <c r="D58" s="273"/>
    </row>
    <row r="59" spans="1:9">
      <c r="B59" s="273"/>
      <c r="C59" s="281"/>
      <c r="D59" s="281"/>
    </row>
    <row r="60" spans="1:9">
      <c r="B60" s="282" t="s">
        <v>328</v>
      </c>
      <c r="C60" s="281"/>
      <c r="D60" s="281"/>
      <c r="I60" s="283" t="str">
        <f>'fiche technique'!A12</f>
        <v>décembre 2014</v>
      </c>
    </row>
    <row r="61" spans="1:9">
      <c r="B61" s="281"/>
      <c r="C61" s="281"/>
      <c r="D61" s="281"/>
    </row>
    <row r="62" spans="1:9">
      <c r="B62" s="273"/>
      <c r="C62" s="281"/>
      <c r="D62" s="281"/>
    </row>
    <row r="63" spans="1:9">
      <c r="B63" s="281"/>
      <c r="C63" s="281"/>
      <c r="D63" s="281"/>
    </row>
    <row r="64" spans="1:9">
      <c r="B64" s="281"/>
      <c r="C64" s="281"/>
      <c r="D64" s="281"/>
    </row>
    <row r="65" spans="2:4">
      <c r="B65" s="281"/>
      <c r="C65" s="281"/>
      <c r="D65" s="281"/>
    </row>
    <row r="66" spans="2:4">
      <c r="B66" s="281"/>
      <c r="C66" s="281"/>
      <c r="D66" s="281"/>
    </row>
    <row r="67" spans="2:4">
      <c r="B67" s="281"/>
      <c r="C67" s="281"/>
      <c r="D67" s="281"/>
    </row>
    <row r="68" spans="2:4">
      <c r="B68" s="281"/>
      <c r="C68" s="281"/>
      <c r="D68" s="281"/>
    </row>
    <row r="69" spans="2:4">
      <c r="B69" s="281"/>
      <c r="C69" s="281"/>
      <c r="D69" s="281"/>
    </row>
    <row r="70" spans="2:4">
      <c r="B70" s="281"/>
      <c r="C70" s="281"/>
      <c r="D70" s="281"/>
    </row>
    <row r="71" spans="2:4">
      <c r="B71" s="281"/>
      <c r="C71" s="281"/>
      <c r="D71" s="281"/>
    </row>
    <row r="72" spans="2:4">
      <c r="B72" s="281"/>
      <c r="C72" s="281"/>
      <c r="D72" s="281"/>
    </row>
    <row r="73" spans="2:4">
      <c r="B73" s="281"/>
      <c r="C73" s="281"/>
      <c r="D73" s="281"/>
    </row>
    <row r="74" spans="2:4">
      <c r="B74" s="281"/>
      <c r="C74" s="281"/>
      <c r="D74" s="281"/>
    </row>
    <row r="75" spans="2:4">
      <c r="B75" s="281"/>
      <c r="C75" s="281"/>
      <c r="D75" s="281"/>
    </row>
    <row r="76" spans="2:4">
      <c r="B76" s="281"/>
      <c r="C76" s="281"/>
      <c r="D76" s="281"/>
    </row>
    <row r="77" spans="2:4">
      <c r="B77" s="281"/>
      <c r="C77" s="281"/>
      <c r="D77" s="281"/>
    </row>
    <row r="78" spans="2:4">
      <c r="B78" s="281"/>
      <c r="C78" s="281"/>
      <c r="D78" s="281"/>
    </row>
    <row r="79" spans="2:4">
      <c r="B79" s="281"/>
      <c r="C79" s="281"/>
      <c r="D79" s="281"/>
    </row>
    <row r="80" spans="2:4">
      <c r="B80" s="281"/>
      <c r="C80" s="281"/>
      <c r="D80" s="281"/>
    </row>
    <row r="81" spans="2:4">
      <c r="B81" s="281"/>
      <c r="C81" s="281"/>
      <c r="D81" s="281"/>
    </row>
    <row r="82" spans="2:4">
      <c r="B82" s="281"/>
      <c r="C82" s="281"/>
      <c r="D82" s="281"/>
    </row>
    <row r="83" spans="2:4">
      <c r="B83" s="281"/>
      <c r="C83" s="281"/>
      <c r="D83" s="281"/>
    </row>
    <row r="84" spans="2:4">
      <c r="B84" s="281"/>
      <c r="C84" s="281"/>
      <c r="D84" s="281"/>
    </row>
    <row r="85" spans="2:4">
      <c r="B85" s="281"/>
      <c r="C85" s="281"/>
      <c r="D85" s="281"/>
    </row>
    <row r="86" spans="2:4">
      <c r="B86" s="281"/>
      <c r="C86" s="281"/>
      <c r="D86" s="281"/>
    </row>
    <row r="87" spans="2:4">
      <c r="B87" s="281"/>
      <c r="C87" s="281"/>
      <c r="D87" s="281"/>
    </row>
    <row r="88" spans="2:4">
      <c r="B88" s="281"/>
      <c r="C88" s="281"/>
      <c r="D88" s="281"/>
    </row>
    <row r="89" spans="2:4">
      <c r="B89" s="281"/>
      <c r="C89" s="281"/>
      <c r="D89" s="281"/>
    </row>
    <row r="90" spans="2:4">
      <c r="B90" s="281"/>
      <c r="C90" s="281"/>
      <c r="D90" s="281"/>
    </row>
    <row r="91" spans="2:4">
      <c r="B91" s="281"/>
      <c r="C91" s="281"/>
      <c r="D91" s="281"/>
    </row>
    <row r="92" spans="2:4">
      <c r="B92" s="281"/>
      <c r="C92" s="281"/>
      <c r="D92" s="281"/>
    </row>
    <row r="93" spans="2:4">
      <c r="B93" s="281"/>
      <c r="C93" s="281"/>
      <c r="D93" s="281"/>
    </row>
    <row r="94" spans="2:4">
      <c r="B94" s="281"/>
      <c r="C94" s="281"/>
      <c r="D94" s="281"/>
    </row>
    <row r="95" spans="2:4">
      <c r="B95" s="281"/>
      <c r="C95" s="281"/>
      <c r="D95" s="281"/>
    </row>
    <row r="96" spans="2:4">
      <c r="B96" s="281"/>
      <c r="C96" s="281"/>
      <c r="D96" s="281"/>
    </row>
    <row r="97" spans="2:4">
      <c r="B97" s="281"/>
      <c r="C97" s="281"/>
      <c r="D97" s="281"/>
    </row>
    <row r="98" spans="2:4">
      <c r="B98" s="281"/>
      <c r="C98" s="281"/>
      <c r="D98" s="281"/>
    </row>
    <row r="99" spans="2:4">
      <c r="B99" s="281"/>
      <c r="C99" s="281"/>
      <c r="D99" s="281"/>
    </row>
    <row r="100" spans="2:4">
      <c r="B100" s="281"/>
      <c r="C100" s="281"/>
      <c r="D100" s="281"/>
    </row>
    <row r="101" spans="2:4">
      <c r="B101" s="281"/>
      <c r="C101" s="281"/>
      <c r="D101" s="281"/>
    </row>
    <row r="102" spans="2:4">
      <c r="B102" s="281"/>
      <c r="C102" s="281"/>
      <c r="D102" s="281"/>
    </row>
    <row r="103" spans="2:4">
      <c r="B103" s="281"/>
      <c r="C103" s="281"/>
      <c r="D103" s="281"/>
    </row>
    <row r="104" spans="2:4">
      <c r="B104" s="281"/>
      <c r="C104" s="281"/>
      <c r="D104" s="281"/>
    </row>
    <row r="105" spans="2:4">
      <c r="B105" s="281"/>
      <c r="C105" s="281"/>
      <c r="D105" s="281"/>
    </row>
    <row r="106" spans="2:4">
      <c r="B106" s="281"/>
      <c r="C106" s="281"/>
      <c r="D106" s="281"/>
    </row>
    <row r="107" spans="2:4">
      <c r="B107" s="281"/>
      <c r="C107" s="281"/>
      <c r="D107" s="281"/>
    </row>
    <row r="108" spans="2:4">
      <c r="B108" s="281"/>
      <c r="C108" s="281"/>
      <c r="D108" s="281"/>
    </row>
    <row r="109" spans="2:4">
      <c r="B109" s="281"/>
      <c r="C109" s="281"/>
      <c r="D109" s="281"/>
    </row>
    <row r="110" spans="2:4">
      <c r="B110" s="281"/>
      <c r="C110" s="281"/>
      <c r="D110" s="281"/>
    </row>
    <row r="111" spans="2:4">
      <c r="B111" s="281"/>
      <c r="C111" s="281"/>
      <c r="D111" s="281"/>
    </row>
    <row r="112" spans="2:4">
      <c r="B112" s="281"/>
      <c r="C112" s="281"/>
      <c r="D112" s="281"/>
    </row>
    <row r="113" spans="2:4">
      <c r="B113" s="281"/>
      <c r="C113" s="281"/>
      <c r="D113" s="281"/>
    </row>
    <row r="114" spans="2:4">
      <c r="B114" s="281"/>
      <c r="C114" s="281"/>
      <c r="D114" s="281"/>
    </row>
    <row r="115" spans="2:4">
      <c r="B115" s="281"/>
      <c r="C115" s="281"/>
      <c r="D115" s="281"/>
    </row>
    <row r="116" spans="2:4">
      <c r="B116" s="281"/>
      <c r="C116" s="281"/>
      <c r="D116" s="281"/>
    </row>
    <row r="117" spans="2:4">
      <c r="B117" s="281"/>
      <c r="C117" s="281"/>
      <c r="D117" s="281"/>
    </row>
    <row r="118" spans="2:4">
      <c r="B118" s="281"/>
      <c r="C118" s="281"/>
      <c r="D118" s="281"/>
    </row>
    <row r="119" spans="2:4">
      <c r="B119" s="281"/>
      <c r="C119" s="281"/>
      <c r="D119" s="281"/>
    </row>
    <row r="120" spans="2:4">
      <c r="B120" s="281"/>
      <c r="C120" s="281"/>
      <c r="D120" s="281"/>
    </row>
    <row r="121" spans="2:4">
      <c r="B121" s="281"/>
      <c r="C121" s="281"/>
      <c r="D121" s="281"/>
    </row>
    <row r="122" spans="2:4">
      <c r="B122" s="281"/>
      <c r="C122" s="281"/>
      <c r="D122" s="281"/>
    </row>
    <row r="123" spans="2:4">
      <c r="B123" s="281"/>
      <c r="C123" s="281"/>
      <c r="D123" s="281"/>
    </row>
    <row r="124" spans="2:4">
      <c r="B124" s="281"/>
      <c r="C124" s="281"/>
      <c r="D124" s="281"/>
    </row>
    <row r="125" spans="2:4">
      <c r="B125" s="281"/>
      <c r="C125" s="281"/>
      <c r="D125" s="281"/>
    </row>
    <row r="126" spans="2:4">
      <c r="B126" s="281"/>
      <c r="C126" s="281"/>
      <c r="D126" s="281"/>
    </row>
    <row r="127" spans="2:4">
      <c r="B127" s="281"/>
      <c r="C127" s="281"/>
      <c r="D127" s="281"/>
    </row>
    <row r="128" spans="2:4">
      <c r="B128" s="281"/>
      <c r="C128" s="281"/>
      <c r="D128" s="281"/>
    </row>
    <row r="129" spans="2:4">
      <c r="B129" s="281"/>
      <c r="C129" s="281"/>
      <c r="D129" s="281"/>
    </row>
    <row r="130" spans="2:4">
      <c r="B130" s="281"/>
      <c r="C130" s="281"/>
      <c r="D130" s="281"/>
    </row>
    <row r="131" spans="2:4">
      <c r="B131" s="281"/>
      <c r="C131" s="281"/>
      <c r="D131" s="281"/>
    </row>
    <row r="132" spans="2:4">
      <c r="B132" s="281"/>
      <c r="C132" s="281"/>
      <c r="D132" s="281"/>
    </row>
    <row r="133" spans="2:4">
      <c r="B133" s="281"/>
      <c r="C133" s="281"/>
      <c r="D133" s="281"/>
    </row>
    <row r="134" spans="2:4">
      <c r="B134" s="281"/>
      <c r="C134" s="281"/>
      <c r="D134" s="281"/>
    </row>
    <row r="135" spans="2:4">
      <c r="B135" s="281"/>
      <c r="C135" s="281"/>
      <c r="D135" s="281"/>
    </row>
    <row r="136" spans="2:4">
      <c r="B136" s="281"/>
      <c r="C136" s="281"/>
      <c r="D136" s="281"/>
    </row>
    <row r="137" spans="2:4">
      <c r="B137" s="281"/>
      <c r="C137" s="281"/>
      <c r="D137" s="281"/>
    </row>
    <row r="138" spans="2:4">
      <c r="B138" s="281"/>
      <c r="C138" s="281"/>
      <c r="D138" s="281"/>
    </row>
    <row r="139" spans="2:4">
      <c r="B139" s="281"/>
      <c r="C139" s="281"/>
      <c r="D139" s="281"/>
    </row>
    <row r="140" spans="2:4">
      <c r="B140" s="281"/>
      <c r="C140" s="281"/>
      <c r="D140" s="281"/>
    </row>
    <row r="141" spans="2:4">
      <c r="B141" s="281"/>
      <c r="C141" s="281"/>
      <c r="D141" s="281"/>
    </row>
    <row r="142" spans="2:4">
      <c r="B142" s="281"/>
      <c r="C142" s="281"/>
      <c r="D142" s="281"/>
    </row>
    <row r="143" spans="2:4">
      <c r="B143" s="281"/>
      <c r="C143" s="281"/>
      <c r="D143" s="281"/>
    </row>
    <row r="144" spans="2:4">
      <c r="B144" s="281"/>
      <c r="C144" s="281"/>
      <c r="D144" s="281"/>
    </row>
    <row r="145" spans="2:4">
      <c r="B145" s="281"/>
      <c r="C145" s="281"/>
      <c r="D145" s="281"/>
    </row>
    <row r="146" spans="2:4">
      <c r="B146" s="281"/>
      <c r="C146" s="281"/>
      <c r="D146" s="281"/>
    </row>
    <row r="147" spans="2:4">
      <c r="B147" s="281"/>
      <c r="C147" s="281"/>
      <c r="D147" s="281"/>
    </row>
    <row r="148" spans="2:4">
      <c r="B148" s="281"/>
      <c r="C148" s="281"/>
      <c r="D148" s="281"/>
    </row>
    <row r="149" spans="2:4">
      <c r="B149" s="281"/>
      <c r="C149" s="281"/>
      <c r="D149" s="281"/>
    </row>
    <row r="150" spans="2:4">
      <c r="B150" s="281"/>
      <c r="C150" s="281"/>
      <c r="D150" s="281"/>
    </row>
    <row r="151" spans="2:4">
      <c r="B151" s="281"/>
      <c r="C151" s="281"/>
      <c r="D151" s="281"/>
    </row>
    <row r="152" spans="2:4">
      <c r="B152" s="281"/>
      <c r="C152" s="281"/>
      <c r="D152" s="281"/>
    </row>
    <row r="153" spans="2:4">
      <c r="B153" s="281"/>
      <c r="C153" s="281"/>
      <c r="D153" s="281"/>
    </row>
    <row r="154" spans="2:4">
      <c r="B154" s="281"/>
      <c r="C154" s="281"/>
      <c r="D154" s="281"/>
    </row>
    <row r="155" spans="2:4">
      <c r="B155" s="281"/>
      <c r="C155" s="281"/>
      <c r="D155" s="281"/>
    </row>
    <row r="156" spans="2:4">
      <c r="B156" s="281"/>
      <c r="C156" s="281"/>
      <c r="D156" s="281"/>
    </row>
    <row r="157" spans="2:4">
      <c r="B157" s="281"/>
      <c r="C157" s="281"/>
      <c r="D157" s="281"/>
    </row>
    <row r="158" spans="2:4">
      <c r="B158" s="281"/>
      <c r="C158" s="281"/>
      <c r="D158" s="281"/>
    </row>
    <row r="159" spans="2:4">
      <c r="B159" s="281"/>
      <c r="C159" s="281"/>
      <c r="D159" s="281"/>
    </row>
    <row r="160" spans="2:4">
      <c r="B160" s="281"/>
      <c r="C160" s="281"/>
      <c r="D160" s="281"/>
    </row>
    <row r="161" spans="2:4">
      <c r="B161" s="281"/>
      <c r="C161" s="281"/>
      <c r="D161" s="281"/>
    </row>
    <row r="162" spans="2:4">
      <c r="B162" s="281"/>
      <c r="C162" s="281"/>
      <c r="D162" s="281"/>
    </row>
    <row r="163" spans="2:4">
      <c r="B163" s="281"/>
      <c r="C163" s="281"/>
      <c r="D163" s="281"/>
    </row>
    <row r="164" spans="2:4">
      <c r="B164" s="281"/>
      <c r="C164" s="281"/>
      <c r="D164" s="281"/>
    </row>
    <row r="165" spans="2:4">
      <c r="B165" s="281"/>
      <c r="C165" s="281"/>
      <c r="D165" s="281"/>
    </row>
    <row r="166" spans="2:4">
      <c r="B166" s="281"/>
      <c r="C166" s="281"/>
      <c r="D166" s="281"/>
    </row>
    <row r="167" spans="2:4">
      <c r="B167" s="281"/>
      <c r="C167" s="281"/>
      <c r="D167" s="281"/>
    </row>
    <row r="168" spans="2:4">
      <c r="B168" s="281"/>
      <c r="C168" s="281"/>
      <c r="D168" s="281"/>
    </row>
    <row r="169" spans="2:4">
      <c r="B169" s="281"/>
      <c r="C169" s="281"/>
      <c r="D169" s="281"/>
    </row>
    <row r="170" spans="2:4">
      <c r="B170" s="281"/>
      <c r="C170" s="281"/>
      <c r="D170" s="281"/>
    </row>
    <row r="171" spans="2:4">
      <c r="B171" s="281"/>
      <c r="C171" s="281"/>
      <c r="D171" s="281"/>
    </row>
    <row r="172" spans="2:4">
      <c r="B172" s="281"/>
      <c r="C172" s="281"/>
      <c r="D172" s="281"/>
    </row>
    <row r="173" spans="2:4">
      <c r="B173" s="281"/>
      <c r="C173" s="281"/>
      <c r="D173" s="281"/>
    </row>
    <row r="174" spans="2:4">
      <c r="B174" s="281"/>
      <c r="C174" s="281"/>
      <c r="D174" s="281"/>
    </row>
    <row r="175" spans="2:4">
      <c r="B175" s="281"/>
      <c r="C175" s="281"/>
      <c r="D175" s="281"/>
    </row>
    <row r="176" spans="2:4">
      <c r="B176" s="281"/>
      <c r="C176" s="281"/>
      <c r="D176" s="281"/>
    </row>
    <row r="177" spans="2:4">
      <c r="B177" s="281"/>
      <c r="C177" s="281"/>
      <c r="D177" s="281"/>
    </row>
    <row r="178" spans="2:4">
      <c r="B178" s="281"/>
      <c r="C178" s="281"/>
      <c r="D178" s="281"/>
    </row>
    <row r="179" spans="2:4">
      <c r="B179" s="281"/>
      <c r="C179" s="281"/>
      <c r="D179" s="281"/>
    </row>
    <row r="180" spans="2:4">
      <c r="B180" s="281"/>
      <c r="C180" s="281"/>
      <c r="D180" s="281"/>
    </row>
    <row r="181" spans="2:4">
      <c r="B181" s="281"/>
      <c r="C181" s="281"/>
      <c r="D181" s="281"/>
    </row>
    <row r="182" spans="2:4">
      <c r="B182" s="281"/>
      <c r="C182" s="281"/>
      <c r="D182" s="281"/>
    </row>
    <row r="183" spans="2:4">
      <c r="B183" s="281"/>
      <c r="C183" s="281"/>
      <c r="D183" s="281"/>
    </row>
    <row r="184" spans="2:4">
      <c r="B184" s="281"/>
      <c r="C184" s="281"/>
      <c r="D184" s="281"/>
    </row>
    <row r="185" spans="2:4">
      <c r="B185" s="281"/>
      <c r="C185" s="281"/>
      <c r="D185" s="281"/>
    </row>
    <row r="186" spans="2:4">
      <c r="B186" s="281"/>
      <c r="C186" s="281"/>
      <c r="D186" s="281"/>
    </row>
    <row r="187" spans="2:4">
      <c r="B187" s="281"/>
      <c r="C187" s="281"/>
      <c r="D187" s="281"/>
    </row>
    <row r="188" spans="2:4">
      <c r="B188" s="281"/>
      <c r="C188" s="281"/>
      <c r="D188" s="281"/>
    </row>
    <row r="189" spans="2:4">
      <c r="B189" s="281"/>
      <c r="C189" s="281"/>
      <c r="D189" s="281"/>
    </row>
    <row r="190" spans="2:4">
      <c r="B190" s="281"/>
      <c r="C190" s="281"/>
      <c r="D190" s="281"/>
    </row>
    <row r="191" spans="2:4">
      <c r="B191" s="281"/>
      <c r="C191" s="281"/>
      <c r="D191" s="281"/>
    </row>
    <row r="192" spans="2:4">
      <c r="B192" s="281"/>
      <c r="C192" s="281"/>
      <c r="D192" s="281"/>
    </row>
    <row r="193" spans="2:4">
      <c r="B193" s="281"/>
      <c r="C193" s="281"/>
      <c r="D193" s="281"/>
    </row>
    <row r="194" spans="2:4">
      <c r="B194" s="281"/>
      <c r="C194" s="281"/>
      <c r="D194" s="281"/>
    </row>
    <row r="195" spans="2:4">
      <c r="B195" s="281"/>
      <c r="C195" s="281"/>
      <c r="D195" s="281"/>
    </row>
    <row r="196" spans="2:4">
      <c r="B196" s="281"/>
      <c r="C196" s="281"/>
      <c r="D196" s="281"/>
    </row>
    <row r="197" spans="2:4">
      <c r="B197" s="281"/>
      <c r="C197" s="281"/>
      <c r="D197" s="281"/>
    </row>
    <row r="198" spans="2:4">
      <c r="B198" s="281"/>
      <c r="C198" s="281"/>
      <c r="D198" s="281"/>
    </row>
    <row r="199" spans="2:4">
      <c r="B199" s="281"/>
      <c r="C199" s="281"/>
      <c r="D199" s="281"/>
    </row>
    <row r="200" spans="2:4">
      <c r="B200" s="281"/>
      <c r="C200" s="281"/>
      <c r="D200" s="281"/>
    </row>
    <row r="201" spans="2:4">
      <c r="B201" s="281"/>
      <c r="C201" s="281"/>
      <c r="D201" s="281"/>
    </row>
    <row r="202" spans="2:4">
      <c r="B202" s="281"/>
      <c r="C202" s="281"/>
      <c r="D202" s="281"/>
    </row>
    <row r="203" spans="2:4">
      <c r="B203" s="281"/>
      <c r="C203" s="281"/>
      <c r="D203" s="281"/>
    </row>
    <row r="204" spans="2:4">
      <c r="B204" s="281"/>
      <c r="C204" s="281"/>
      <c r="D204" s="281"/>
    </row>
    <row r="205" spans="2:4">
      <c r="B205" s="281"/>
      <c r="C205" s="281"/>
      <c r="D205" s="281"/>
    </row>
    <row r="206" spans="2:4">
      <c r="B206" s="281"/>
      <c r="C206" s="281"/>
      <c r="D206" s="281"/>
    </row>
    <row r="207" spans="2:4">
      <c r="B207" s="281"/>
      <c r="C207" s="281"/>
      <c r="D207" s="281"/>
    </row>
    <row r="208" spans="2:4">
      <c r="B208" s="281"/>
      <c r="C208" s="281"/>
      <c r="D208" s="281"/>
    </row>
    <row r="209" spans="2:4">
      <c r="B209" s="281"/>
      <c r="C209" s="281"/>
      <c r="D209" s="281"/>
    </row>
    <row r="210" spans="2:4">
      <c r="B210" s="281"/>
      <c r="C210" s="281"/>
      <c r="D210" s="281"/>
    </row>
    <row r="211" spans="2:4">
      <c r="B211" s="281"/>
      <c r="C211" s="281"/>
      <c r="D211" s="281"/>
    </row>
    <row r="212" spans="2:4">
      <c r="B212" s="281"/>
      <c r="C212" s="281"/>
      <c r="D212" s="281"/>
    </row>
    <row r="213" spans="2:4">
      <c r="B213" s="281"/>
      <c r="C213" s="281"/>
      <c r="D213" s="281"/>
    </row>
    <row r="214" spans="2:4">
      <c r="B214" s="281"/>
      <c r="C214" s="281"/>
      <c r="D214" s="281"/>
    </row>
    <row r="215" spans="2:4">
      <c r="B215" s="281"/>
      <c r="C215" s="281"/>
      <c r="D215" s="281"/>
    </row>
    <row r="216" spans="2:4">
      <c r="B216" s="281"/>
      <c r="C216" s="281"/>
      <c r="D216" s="281"/>
    </row>
    <row r="217" spans="2:4">
      <c r="B217" s="281"/>
      <c r="C217" s="281"/>
      <c r="D217" s="281"/>
    </row>
    <row r="218" spans="2:4">
      <c r="B218" s="281"/>
      <c r="C218" s="281"/>
      <c r="D218" s="281"/>
    </row>
    <row r="219" spans="2:4">
      <c r="B219" s="281"/>
      <c r="C219" s="281"/>
      <c r="D219" s="281"/>
    </row>
    <row r="220" spans="2:4">
      <c r="B220" s="281"/>
      <c r="C220" s="281"/>
      <c r="D220" s="281"/>
    </row>
    <row r="221" spans="2:4">
      <c r="B221" s="281"/>
      <c r="C221" s="281"/>
      <c r="D221" s="281"/>
    </row>
    <row r="222" spans="2:4">
      <c r="B222" s="281"/>
      <c r="C222" s="281"/>
      <c r="D222" s="281"/>
    </row>
    <row r="223" spans="2:4">
      <c r="B223" s="281"/>
      <c r="C223" s="281"/>
      <c r="D223" s="281"/>
    </row>
    <row r="224" spans="2:4">
      <c r="B224" s="281"/>
      <c r="C224" s="281"/>
      <c r="D224" s="281"/>
    </row>
    <row r="225" spans="2:4">
      <c r="B225" s="281"/>
      <c r="C225" s="281"/>
      <c r="D225" s="281"/>
    </row>
    <row r="226" spans="2:4">
      <c r="B226" s="281"/>
      <c r="C226" s="281"/>
      <c r="D226" s="281"/>
    </row>
    <row r="227" spans="2:4">
      <c r="B227" s="281"/>
      <c r="C227" s="281"/>
      <c r="D227" s="281"/>
    </row>
    <row r="228" spans="2:4">
      <c r="B228" s="281"/>
      <c r="C228" s="281"/>
      <c r="D228" s="281"/>
    </row>
    <row r="229" spans="2:4">
      <c r="B229" s="281"/>
      <c r="C229" s="281"/>
      <c r="D229" s="281"/>
    </row>
    <row r="230" spans="2:4">
      <c r="B230" s="281"/>
      <c r="C230" s="281"/>
      <c r="D230" s="281"/>
    </row>
    <row r="231" spans="2:4">
      <c r="B231" s="281"/>
      <c r="C231" s="281"/>
      <c r="D231" s="281"/>
    </row>
    <row r="232" spans="2:4">
      <c r="B232" s="281"/>
      <c r="C232" s="281"/>
      <c r="D232" s="281"/>
    </row>
    <row r="233" spans="2:4">
      <c r="B233" s="281"/>
      <c r="C233" s="281"/>
      <c r="D233" s="281"/>
    </row>
    <row r="234" spans="2:4">
      <c r="B234" s="281"/>
      <c r="C234" s="281"/>
      <c r="D234" s="281"/>
    </row>
    <row r="235" spans="2:4">
      <c r="B235" s="281"/>
      <c r="C235" s="281"/>
      <c r="D235" s="281"/>
    </row>
    <row r="236" spans="2:4">
      <c r="B236" s="281"/>
      <c r="C236" s="281"/>
      <c r="D236" s="281"/>
    </row>
    <row r="237" spans="2:4">
      <c r="B237" s="281"/>
      <c r="C237" s="281"/>
      <c r="D237" s="281"/>
    </row>
    <row r="238" spans="2:4">
      <c r="B238" s="281"/>
      <c r="C238" s="281"/>
      <c r="D238" s="281"/>
    </row>
    <row r="239" spans="2:4">
      <c r="B239" s="281"/>
      <c r="C239" s="281"/>
      <c r="D239" s="281"/>
    </row>
    <row r="240" spans="2:4">
      <c r="B240" s="281"/>
      <c r="C240" s="281"/>
      <c r="D240" s="281"/>
    </row>
    <row r="241" spans="2:4">
      <c r="B241" s="281"/>
      <c r="C241" s="281"/>
      <c r="D241" s="281"/>
    </row>
    <row r="242" spans="2:4">
      <c r="B242" s="281"/>
      <c r="C242" s="281"/>
      <c r="D242" s="281"/>
    </row>
    <row r="243" spans="2:4">
      <c r="B243" s="281"/>
      <c r="C243" s="281"/>
      <c r="D243" s="281"/>
    </row>
    <row r="244" spans="2:4">
      <c r="B244" s="281"/>
      <c r="C244" s="281"/>
      <c r="D244" s="281"/>
    </row>
    <row r="245" spans="2:4">
      <c r="B245" s="281"/>
      <c r="C245" s="281"/>
      <c r="D245" s="281"/>
    </row>
    <row r="246" spans="2:4">
      <c r="B246" s="281"/>
      <c r="C246" s="281"/>
      <c r="D246" s="281"/>
    </row>
    <row r="247" spans="2:4">
      <c r="B247" s="281"/>
      <c r="C247" s="281"/>
      <c r="D247" s="281"/>
    </row>
    <row r="248" spans="2:4">
      <c r="B248" s="281"/>
      <c r="C248" s="281"/>
      <c r="D248" s="281"/>
    </row>
    <row r="249" spans="2:4">
      <c r="B249" s="281"/>
      <c r="C249" s="281"/>
      <c r="D249" s="281"/>
    </row>
    <row r="250" spans="2:4">
      <c r="B250" s="281"/>
      <c r="C250" s="281"/>
      <c r="D250" s="281"/>
    </row>
    <row r="251" spans="2:4">
      <c r="B251" s="281"/>
      <c r="C251" s="281"/>
      <c r="D251" s="281"/>
    </row>
    <row r="252" spans="2:4">
      <c r="B252" s="281"/>
      <c r="C252" s="281"/>
      <c r="D252" s="281"/>
    </row>
    <row r="253" spans="2:4">
      <c r="B253" s="281"/>
      <c r="C253" s="281"/>
      <c r="D253" s="281"/>
    </row>
    <row r="254" spans="2:4">
      <c r="B254" s="281"/>
      <c r="C254" s="281"/>
      <c r="D254" s="281"/>
    </row>
    <row r="255" spans="2:4">
      <c r="B255" s="281"/>
      <c r="C255" s="281"/>
      <c r="D255" s="281"/>
    </row>
    <row r="256" spans="2:4">
      <c r="B256" s="281"/>
      <c r="C256" s="281"/>
      <c r="D256" s="281"/>
    </row>
    <row r="257" spans="2:4">
      <c r="B257" s="281"/>
      <c r="C257" s="281"/>
      <c r="D257" s="281"/>
    </row>
    <row r="258" spans="2:4">
      <c r="B258" s="281"/>
      <c r="C258" s="281"/>
      <c r="D258" s="281"/>
    </row>
    <row r="259" spans="2:4">
      <c r="B259" s="281"/>
      <c r="C259" s="281"/>
      <c r="D259" s="281"/>
    </row>
    <row r="260" spans="2:4">
      <c r="B260" s="281"/>
      <c r="C260" s="281"/>
      <c r="D260" s="281"/>
    </row>
    <row r="261" spans="2:4">
      <c r="B261" s="281"/>
      <c r="C261" s="281"/>
      <c r="D261" s="281"/>
    </row>
    <row r="262" spans="2:4">
      <c r="B262" s="281"/>
      <c r="C262" s="281"/>
      <c r="D262" s="281"/>
    </row>
    <row r="263" spans="2:4">
      <c r="B263" s="281"/>
      <c r="C263" s="281"/>
      <c r="D263" s="281"/>
    </row>
    <row r="264" spans="2:4">
      <c r="B264" s="281"/>
      <c r="C264" s="281"/>
      <c r="D264" s="281"/>
    </row>
    <row r="265" spans="2:4">
      <c r="B265" s="281"/>
      <c r="C265" s="281"/>
      <c r="D265" s="281"/>
    </row>
    <row r="266" spans="2:4">
      <c r="B266" s="281"/>
      <c r="C266" s="281"/>
      <c r="D266" s="281"/>
    </row>
    <row r="267" spans="2:4">
      <c r="B267" s="281"/>
      <c r="C267" s="281"/>
      <c r="D267" s="281"/>
    </row>
    <row r="268" spans="2:4">
      <c r="B268" s="281"/>
      <c r="C268" s="281"/>
      <c r="D268" s="281"/>
    </row>
    <row r="269" spans="2:4">
      <c r="B269" s="281"/>
      <c r="C269" s="281"/>
      <c r="D269" s="281"/>
    </row>
    <row r="270" spans="2:4">
      <c r="B270" s="281"/>
      <c r="C270" s="281"/>
      <c r="D270" s="281"/>
    </row>
    <row r="271" spans="2:4">
      <c r="B271" s="281"/>
      <c r="C271" s="281"/>
      <c r="D271" s="281"/>
    </row>
    <row r="272" spans="2:4">
      <c r="B272" s="281"/>
      <c r="C272" s="281"/>
      <c r="D272" s="281"/>
    </row>
    <row r="273" spans="2:4">
      <c r="B273" s="281"/>
      <c r="C273" s="281"/>
      <c r="D273" s="281"/>
    </row>
    <row r="274" spans="2:4">
      <c r="B274" s="281"/>
      <c r="C274" s="281"/>
      <c r="D274" s="281"/>
    </row>
    <row r="275" spans="2:4">
      <c r="B275" s="281"/>
      <c r="C275" s="281"/>
      <c r="D275" s="281"/>
    </row>
    <row r="276" spans="2:4">
      <c r="B276" s="281"/>
      <c r="C276" s="281"/>
      <c r="D276" s="281"/>
    </row>
    <row r="277" spans="2:4">
      <c r="B277" s="281"/>
      <c r="C277" s="281"/>
      <c r="D277" s="281"/>
    </row>
    <row r="278" spans="2:4">
      <c r="B278" s="281"/>
      <c r="C278" s="281"/>
      <c r="D278" s="281"/>
    </row>
    <row r="279" spans="2:4">
      <c r="B279" s="281"/>
      <c r="C279" s="281"/>
      <c r="D279" s="281"/>
    </row>
    <row r="280" spans="2:4">
      <c r="B280" s="281"/>
      <c r="C280" s="281"/>
      <c r="D280" s="281"/>
    </row>
    <row r="281" spans="2:4">
      <c r="B281" s="281"/>
      <c r="C281" s="281"/>
      <c r="D281" s="281"/>
    </row>
    <row r="282" spans="2:4">
      <c r="B282" s="281"/>
      <c r="C282" s="281"/>
      <c r="D282" s="281"/>
    </row>
    <row r="283" spans="2:4">
      <c r="B283" s="281"/>
      <c r="C283" s="281"/>
      <c r="D283" s="281"/>
    </row>
    <row r="284" spans="2:4">
      <c r="B284" s="281"/>
      <c r="C284" s="281"/>
      <c r="D284" s="281"/>
    </row>
    <row r="285" spans="2:4">
      <c r="B285" s="281"/>
      <c r="C285" s="281"/>
      <c r="D285" s="281"/>
    </row>
    <row r="286" spans="2:4">
      <c r="B286" s="281"/>
      <c r="C286" s="281"/>
      <c r="D286" s="281"/>
    </row>
    <row r="287" spans="2:4">
      <c r="B287" s="281"/>
      <c r="C287" s="281"/>
      <c r="D287" s="281"/>
    </row>
    <row r="288" spans="2:4">
      <c r="B288" s="281"/>
      <c r="C288" s="281"/>
      <c r="D288" s="281"/>
    </row>
    <row r="289" spans="2:4">
      <c r="B289" s="281"/>
      <c r="C289" s="281"/>
      <c r="D289" s="281"/>
    </row>
    <row r="290" spans="2:4">
      <c r="B290" s="281"/>
      <c r="C290" s="281"/>
      <c r="D290" s="281"/>
    </row>
    <row r="291" spans="2:4">
      <c r="B291" s="281"/>
      <c r="C291" s="281"/>
      <c r="D291" s="281"/>
    </row>
    <row r="292" spans="2:4">
      <c r="B292" s="281"/>
      <c r="C292" s="281"/>
      <c r="D292" s="281"/>
    </row>
    <row r="293" spans="2:4">
      <c r="B293" s="281"/>
      <c r="C293" s="281"/>
      <c r="D293" s="281"/>
    </row>
    <row r="294" spans="2:4">
      <c r="B294" s="281"/>
      <c r="C294" s="281"/>
      <c r="D294" s="281"/>
    </row>
    <row r="295" spans="2:4">
      <c r="B295" s="281"/>
      <c r="C295" s="281"/>
      <c r="D295" s="281"/>
    </row>
    <row r="296" spans="2:4">
      <c r="B296" s="281"/>
      <c r="C296" s="281"/>
      <c r="D296" s="281"/>
    </row>
    <row r="297" spans="2:4">
      <c r="B297" s="281"/>
      <c r="C297" s="281"/>
      <c r="D297" s="281"/>
    </row>
    <row r="298" spans="2:4">
      <c r="B298" s="281"/>
      <c r="C298" s="281"/>
      <c r="D298" s="281"/>
    </row>
    <row r="299" spans="2:4">
      <c r="B299" s="281"/>
      <c r="C299" s="281"/>
      <c r="D299" s="281"/>
    </row>
    <row r="300" spans="2:4">
      <c r="B300" s="281"/>
      <c r="C300" s="281"/>
      <c r="D300" s="281"/>
    </row>
    <row r="301" spans="2:4">
      <c r="B301" s="281"/>
      <c r="C301" s="281"/>
      <c r="D301" s="281"/>
    </row>
    <row r="302" spans="2:4">
      <c r="B302" s="281"/>
      <c r="C302" s="281"/>
      <c r="D302" s="281"/>
    </row>
    <row r="303" spans="2:4">
      <c r="B303" s="281"/>
      <c r="C303" s="281"/>
      <c r="D303" s="281"/>
    </row>
    <row r="304" spans="2:4">
      <c r="B304" s="281"/>
      <c r="C304" s="281"/>
      <c r="D304" s="281"/>
    </row>
    <row r="305" spans="2:4">
      <c r="B305" s="281"/>
      <c r="C305" s="281"/>
      <c r="D305" s="281"/>
    </row>
    <row r="306" spans="2:4">
      <c r="B306" s="281"/>
      <c r="C306" s="281"/>
      <c r="D306" s="281"/>
    </row>
    <row r="307" spans="2:4">
      <c r="B307" s="281"/>
      <c r="C307" s="281"/>
      <c r="D307" s="281"/>
    </row>
    <row r="308" spans="2:4">
      <c r="B308" s="281"/>
      <c r="C308" s="281"/>
      <c r="D308" s="281"/>
    </row>
    <row r="309" spans="2:4">
      <c r="B309" s="281"/>
      <c r="C309" s="281"/>
      <c r="D309" s="281"/>
    </row>
    <row r="310" spans="2:4">
      <c r="B310" s="281"/>
      <c r="C310" s="281"/>
      <c r="D310" s="281"/>
    </row>
    <row r="311" spans="2:4">
      <c r="B311" s="281"/>
      <c r="C311" s="281"/>
      <c r="D311" s="281"/>
    </row>
    <row r="312" spans="2:4">
      <c r="B312" s="281"/>
      <c r="C312" s="281"/>
      <c r="D312" s="281"/>
    </row>
    <row r="313" spans="2:4">
      <c r="B313" s="281"/>
      <c r="C313" s="281"/>
      <c r="D313" s="281"/>
    </row>
    <row r="314" spans="2:4">
      <c r="B314" s="281"/>
      <c r="C314" s="281"/>
      <c r="D314" s="281"/>
    </row>
    <row r="315" spans="2:4">
      <c r="B315" s="281"/>
      <c r="C315" s="281"/>
      <c r="D315" s="281"/>
    </row>
    <row r="316" spans="2:4">
      <c r="B316" s="281"/>
      <c r="C316" s="281"/>
      <c r="D316" s="281"/>
    </row>
    <row r="317" spans="2:4">
      <c r="B317" s="281"/>
      <c r="C317" s="281"/>
      <c r="D317" s="281"/>
    </row>
    <row r="318" spans="2:4">
      <c r="B318" s="281"/>
      <c r="C318" s="281"/>
      <c r="D318" s="281"/>
    </row>
    <row r="319" spans="2:4">
      <c r="B319" s="281"/>
      <c r="C319" s="281"/>
      <c r="D319" s="281"/>
    </row>
    <row r="320" spans="2:4">
      <c r="B320" s="281"/>
      <c r="C320" s="281"/>
      <c r="D320" s="281"/>
    </row>
    <row r="321" spans="2:4">
      <c r="B321" s="281"/>
      <c r="C321" s="281"/>
      <c r="D321" s="281"/>
    </row>
    <row r="322" spans="2:4">
      <c r="B322" s="281"/>
      <c r="C322" s="281"/>
      <c r="D322" s="281"/>
    </row>
    <row r="323" spans="2:4">
      <c r="B323" s="281"/>
      <c r="C323" s="281"/>
      <c r="D323" s="281"/>
    </row>
    <row r="324" spans="2:4">
      <c r="B324" s="281"/>
      <c r="C324" s="281"/>
      <c r="D324" s="281"/>
    </row>
    <row r="325" spans="2:4">
      <c r="B325" s="281"/>
      <c r="C325" s="281"/>
      <c r="D325" s="281"/>
    </row>
    <row r="326" spans="2:4">
      <c r="B326" s="281"/>
      <c r="C326" s="281"/>
      <c r="D326" s="281"/>
    </row>
    <row r="327" spans="2:4">
      <c r="B327" s="281"/>
      <c r="C327" s="281"/>
      <c r="D327" s="281"/>
    </row>
    <row r="328" spans="2:4">
      <c r="B328" s="281"/>
      <c r="C328" s="281"/>
      <c r="D328" s="281"/>
    </row>
    <row r="329" spans="2:4">
      <c r="B329" s="281"/>
      <c r="C329" s="281"/>
      <c r="D329" s="281"/>
    </row>
    <row r="330" spans="2:4">
      <c r="B330" s="281"/>
      <c r="C330" s="281"/>
      <c r="D330" s="281"/>
    </row>
    <row r="331" spans="2:4">
      <c r="B331" s="281"/>
      <c r="C331" s="281"/>
      <c r="D331" s="281"/>
    </row>
    <row r="332" spans="2:4">
      <c r="B332" s="281"/>
      <c r="C332" s="281"/>
      <c r="D332" s="281"/>
    </row>
    <row r="333" spans="2:4">
      <c r="B333" s="281"/>
      <c r="C333" s="281"/>
      <c r="D333" s="281"/>
    </row>
    <row r="334" spans="2:4">
      <c r="B334" s="281"/>
      <c r="C334" s="281"/>
      <c r="D334" s="281"/>
    </row>
    <row r="335" spans="2:4">
      <c r="B335" s="281"/>
      <c r="C335" s="281"/>
      <c r="D335" s="281"/>
    </row>
    <row r="336" spans="2:4">
      <c r="B336" s="281"/>
      <c r="C336" s="281"/>
      <c r="D336" s="281"/>
    </row>
    <row r="337" spans="2:4">
      <c r="B337" s="281"/>
      <c r="C337" s="281"/>
      <c r="D337" s="281"/>
    </row>
    <row r="338" spans="2:4">
      <c r="B338" s="281"/>
      <c r="C338" s="281"/>
      <c r="D338" s="281"/>
    </row>
    <row r="339" spans="2:4">
      <c r="B339" s="281"/>
      <c r="C339" s="281"/>
      <c r="D339" s="281"/>
    </row>
    <row r="340" spans="2:4">
      <c r="B340" s="281"/>
      <c r="C340" s="281"/>
      <c r="D340" s="281"/>
    </row>
    <row r="341" spans="2:4">
      <c r="B341" s="281"/>
      <c r="C341" s="281"/>
      <c r="D341" s="281"/>
    </row>
    <row r="342" spans="2:4">
      <c r="B342" s="281"/>
      <c r="C342" s="281"/>
      <c r="D342" s="281"/>
    </row>
    <row r="343" spans="2:4">
      <c r="B343" s="281"/>
      <c r="C343" s="281"/>
      <c r="D343" s="281"/>
    </row>
    <row r="344" spans="2:4">
      <c r="B344" s="281"/>
      <c r="C344" s="281"/>
      <c r="D344" s="281"/>
    </row>
    <row r="345" spans="2:4">
      <c r="B345" s="281"/>
      <c r="C345" s="281"/>
      <c r="D345" s="281"/>
    </row>
    <row r="346" spans="2:4">
      <c r="B346" s="281"/>
      <c r="C346" s="281"/>
      <c r="D346" s="281"/>
    </row>
    <row r="347" spans="2:4">
      <c r="B347" s="281"/>
      <c r="C347" s="281"/>
      <c r="D347" s="281"/>
    </row>
    <row r="348" spans="2:4">
      <c r="B348" s="281"/>
      <c r="C348" s="281"/>
      <c r="D348" s="281"/>
    </row>
    <row r="349" spans="2:4">
      <c r="B349" s="281"/>
      <c r="C349" s="281"/>
      <c r="D349" s="281"/>
    </row>
    <row r="350" spans="2:4">
      <c r="B350" s="281"/>
      <c r="C350" s="281"/>
      <c r="D350" s="281"/>
    </row>
    <row r="351" spans="2:4">
      <c r="B351" s="281"/>
      <c r="C351" s="281"/>
      <c r="D351" s="281"/>
    </row>
    <row r="352" spans="2:4">
      <c r="B352" s="281"/>
      <c r="C352" s="281"/>
      <c r="D352" s="281"/>
    </row>
    <row r="353" spans="2:4">
      <c r="B353" s="281"/>
      <c r="C353" s="281"/>
      <c r="D353" s="281"/>
    </row>
    <row r="354" spans="2:4">
      <c r="B354" s="281"/>
      <c r="C354" s="281"/>
      <c r="D354" s="281"/>
    </row>
    <row r="355" spans="2:4">
      <c r="B355" s="281"/>
      <c r="C355" s="281"/>
      <c r="D355" s="281"/>
    </row>
    <row r="356" spans="2:4">
      <c r="B356" s="281"/>
      <c r="C356" s="281"/>
      <c r="D356" s="281"/>
    </row>
    <row r="357" spans="2:4">
      <c r="B357" s="281"/>
      <c r="C357" s="281"/>
      <c r="D357" s="281"/>
    </row>
    <row r="358" spans="2:4">
      <c r="B358" s="281"/>
      <c r="C358" s="281"/>
      <c r="D358" s="281"/>
    </row>
    <row r="359" spans="2:4">
      <c r="B359" s="281"/>
      <c r="C359" s="281"/>
      <c r="D359" s="281"/>
    </row>
    <row r="360" spans="2:4">
      <c r="B360" s="281"/>
      <c r="C360" s="281"/>
      <c r="D360" s="281"/>
    </row>
    <row r="361" spans="2:4">
      <c r="B361" s="281"/>
      <c r="C361" s="281"/>
      <c r="D361" s="281"/>
    </row>
    <row r="362" spans="2:4">
      <c r="B362" s="281"/>
      <c r="C362" s="281"/>
      <c r="D362" s="281"/>
    </row>
    <row r="363" spans="2:4">
      <c r="B363" s="281"/>
      <c r="C363" s="281"/>
      <c r="D363" s="281"/>
    </row>
    <row r="364" spans="2:4">
      <c r="B364" s="281"/>
      <c r="C364" s="281"/>
      <c r="D364" s="281"/>
    </row>
    <row r="365" spans="2:4">
      <c r="B365" s="281"/>
      <c r="C365" s="281"/>
      <c r="D365" s="281"/>
    </row>
    <row r="366" spans="2:4">
      <c r="B366" s="281"/>
      <c r="C366" s="281"/>
      <c r="D366" s="281"/>
    </row>
    <row r="367" spans="2:4">
      <c r="B367" s="281"/>
      <c r="C367" s="281"/>
      <c r="D367" s="281"/>
    </row>
    <row r="368" spans="2:4">
      <c r="B368" s="281"/>
      <c r="C368" s="281"/>
      <c r="D368" s="281"/>
    </row>
    <row r="369" spans="2:4">
      <c r="B369" s="281"/>
      <c r="C369" s="281"/>
      <c r="D369" s="281"/>
    </row>
    <row r="370" spans="2:4">
      <c r="B370" s="281"/>
      <c r="C370" s="281"/>
      <c r="D370" s="281"/>
    </row>
    <row r="371" spans="2:4">
      <c r="B371" s="281"/>
      <c r="C371" s="281"/>
      <c r="D371" s="281"/>
    </row>
    <row r="372" spans="2:4">
      <c r="B372" s="281"/>
      <c r="C372" s="281"/>
      <c r="D372" s="281"/>
    </row>
    <row r="373" spans="2:4">
      <c r="B373" s="281"/>
      <c r="C373" s="281"/>
      <c r="D373" s="281"/>
    </row>
    <row r="374" spans="2:4">
      <c r="B374" s="281"/>
      <c r="C374" s="281"/>
      <c r="D374" s="281"/>
    </row>
    <row r="375" spans="2:4">
      <c r="B375" s="281"/>
      <c r="C375" s="281"/>
      <c r="D375" s="281"/>
    </row>
    <row r="376" spans="2:4">
      <c r="B376" s="281"/>
      <c r="C376" s="281"/>
      <c r="D376" s="281"/>
    </row>
    <row r="377" spans="2:4">
      <c r="B377" s="281"/>
      <c r="C377" s="281"/>
      <c r="D377" s="281"/>
    </row>
    <row r="378" spans="2:4">
      <c r="B378" s="281"/>
      <c r="C378" s="281"/>
      <c r="D378" s="281"/>
    </row>
    <row r="379" spans="2:4">
      <c r="B379" s="281"/>
      <c r="C379" s="281"/>
      <c r="D379" s="281"/>
    </row>
    <row r="380" spans="2:4">
      <c r="B380" s="281"/>
      <c r="C380" s="281"/>
      <c r="D380" s="281"/>
    </row>
    <row r="381" spans="2:4">
      <c r="B381" s="281"/>
      <c r="C381" s="281"/>
      <c r="D381" s="281"/>
    </row>
    <row r="382" spans="2:4">
      <c r="B382" s="281"/>
      <c r="C382" s="281"/>
      <c r="D382" s="281"/>
    </row>
    <row r="383" spans="2:4">
      <c r="B383" s="281"/>
      <c r="C383" s="281"/>
      <c r="D383" s="281"/>
    </row>
    <row r="384" spans="2:4">
      <c r="B384" s="281"/>
      <c r="C384" s="281"/>
      <c r="D384" s="281"/>
    </row>
    <row r="385" spans="2:4">
      <c r="B385" s="281"/>
      <c r="C385" s="281"/>
      <c r="D385" s="281"/>
    </row>
    <row r="386" spans="2:4">
      <c r="B386" s="281"/>
      <c r="C386" s="281"/>
      <c r="D386" s="281"/>
    </row>
    <row r="387" spans="2:4">
      <c r="B387" s="281"/>
      <c r="C387" s="281"/>
      <c r="D387" s="281"/>
    </row>
    <row r="388" spans="2:4">
      <c r="B388" s="281"/>
      <c r="C388" s="281"/>
      <c r="D388" s="281"/>
    </row>
    <row r="389" spans="2:4">
      <c r="B389" s="281"/>
      <c r="C389" s="281"/>
      <c r="D389" s="281"/>
    </row>
    <row r="390" spans="2:4">
      <c r="B390" s="281"/>
      <c r="C390" s="281"/>
      <c r="D390" s="281"/>
    </row>
    <row r="391" spans="2:4">
      <c r="B391" s="281"/>
      <c r="C391" s="281"/>
      <c r="D391" s="281"/>
    </row>
    <row r="392" spans="2:4">
      <c r="B392" s="281"/>
      <c r="C392" s="281"/>
      <c r="D392" s="281"/>
    </row>
    <row r="393" spans="2:4">
      <c r="B393" s="281"/>
      <c r="C393" s="281"/>
      <c r="D393" s="281"/>
    </row>
    <row r="394" spans="2:4">
      <c r="B394" s="281"/>
      <c r="C394" s="281"/>
      <c r="D394" s="281"/>
    </row>
    <row r="395" spans="2:4">
      <c r="B395" s="281"/>
      <c r="C395" s="281"/>
      <c r="D395" s="281"/>
    </row>
    <row r="396" spans="2:4">
      <c r="B396" s="281"/>
      <c r="C396" s="281"/>
      <c r="D396" s="281"/>
    </row>
    <row r="397" spans="2:4">
      <c r="B397" s="281"/>
      <c r="C397" s="281"/>
      <c r="D397" s="281"/>
    </row>
    <row r="398" spans="2:4">
      <c r="B398" s="281"/>
      <c r="C398" s="281"/>
      <c r="D398" s="281"/>
    </row>
    <row r="399" spans="2:4">
      <c r="B399" s="281"/>
      <c r="C399" s="281"/>
      <c r="D399" s="281"/>
    </row>
    <row r="400" spans="2:4">
      <c r="B400" s="281"/>
      <c r="C400" s="281"/>
      <c r="D400" s="281"/>
    </row>
    <row r="401" spans="2:4">
      <c r="B401" s="281"/>
      <c r="C401" s="281"/>
      <c r="D401" s="281"/>
    </row>
    <row r="402" spans="2:4">
      <c r="B402" s="281"/>
      <c r="C402" s="281"/>
      <c r="D402" s="281"/>
    </row>
    <row r="403" spans="2:4">
      <c r="B403" s="281"/>
      <c r="C403" s="281"/>
      <c r="D403" s="281"/>
    </row>
    <row r="404" spans="2:4">
      <c r="B404" s="281"/>
      <c r="C404" s="281"/>
      <c r="D404" s="281"/>
    </row>
    <row r="405" spans="2:4">
      <c r="B405" s="281"/>
      <c r="C405" s="281"/>
      <c r="D405" s="281"/>
    </row>
    <row r="406" spans="2:4">
      <c r="B406" s="281"/>
      <c r="C406" s="281"/>
      <c r="D406" s="281"/>
    </row>
    <row r="407" spans="2:4">
      <c r="B407" s="281"/>
      <c r="C407" s="281"/>
      <c r="D407" s="281"/>
    </row>
    <row r="408" spans="2:4">
      <c r="B408" s="281"/>
      <c r="C408" s="281"/>
      <c r="D408" s="281"/>
    </row>
    <row r="409" spans="2:4">
      <c r="B409" s="281"/>
      <c r="C409" s="281"/>
      <c r="D409" s="281"/>
    </row>
    <row r="410" spans="2:4">
      <c r="B410" s="281"/>
      <c r="C410" s="281"/>
      <c r="D410" s="281"/>
    </row>
    <row r="411" spans="2:4">
      <c r="B411" s="281"/>
      <c r="C411" s="281"/>
      <c r="D411" s="281"/>
    </row>
    <row r="412" spans="2:4">
      <c r="B412" s="281"/>
      <c r="C412" s="281"/>
      <c r="D412" s="281"/>
    </row>
    <row r="413" spans="2:4">
      <c r="B413" s="281"/>
      <c r="C413" s="281"/>
      <c r="D413" s="281"/>
    </row>
    <row r="414" spans="2:4">
      <c r="B414" s="281"/>
      <c r="C414" s="281"/>
      <c r="D414" s="281"/>
    </row>
    <row r="415" spans="2:4">
      <c r="B415" s="281"/>
      <c r="C415" s="281"/>
      <c r="D415" s="281"/>
    </row>
    <row r="416" spans="2:4">
      <c r="B416" s="281"/>
      <c r="C416" s="281"/>
      <c r="D416" s="281"/>
    </row>
    <row r="417" spans="2:4">
      <c r="B417" s="281"/>
      <c r="C417" s="281"/>
      <c r="D417" s="281"/>
    </row>
    <row r="418" spans="2:4">
      <c r="B418" s="281"/>
      <c r="C418" s="281"/>
      <c r="D418" s="281"/>
    </row>
    <row r="419" spans="2:4">
      <c r="B419" s="281"/>
      <c r="C419" s="281"/>
      <c r="D419" s="281"/>
    </row>
    <row r="420" spans="2:4">
      <c r="B420" s="281"/>
      <c r="C420" s="281"/>
      <c r="D420" s="281"/>
    </row>
    <row r="421" spans="2:4">
      <c r="B421" s="281"/>
      <c r="C421" s="281"/>
      <c r="D421" s="281"/>
    </row>
    <row r="422" spans="2:4">
      <c r="B422" s="281"/>
      <c r="C422" s="281"/>
      <c r="D422" s="281"/>
    </row>
    <row r="423" spans="2:4">
      <c r="B423" s="281"/>
      <c r="C423" s="281"/>
      <c r="D423" s="281"/>
    </row>
    <row r="424" spans="2:4">
      <c r="B424" s="281"/>
      <c r="C424" s="281"/>
      <c r="D424" s="281"/>
    </row>
    <row r="425" spans="2:4">
      <c r="B425" s="281"/>
      <c r="C425" s="281"/>
      <c r="D425" s="281"/>
    </row>
    <row r="426" spans="2:4">
      <c r="B426" s="281"/>
      <c r="C426" s="281"/>
      <c r="D426" s="281"/>
    </row>
    <row r="427" spans="2:4">
      <c r="B427" s="281"/>
      <c r="C427" s="281"/>
      <c r="D427" s="281"/>
    </row>
    <row r="428" spans="2:4">
      <c r="B428" s="281"/>
      <c r="C428" s="281"/>
      <c r="D428" s="281"/>
    </row>
    <row r="429" spans="2:4">
      <c r="B429" s="281"/>
      <c r="C429" s="281"/>
      <c r="D429" s="281"/>
    </row>
    <row r="430" spans="2:4">
      <c r="B430" s="281"/>
      <c r="C430" s="281"/>
      <c r="D430" s="281"/>
    </row>
    <row r="431" spans="2:4">
      <c r="B431" s="281"/>
      <c r="C431" s="281"/>
      <c r="D431" s="281"/>
    </row>
    <row r="432" spans="2:4">
      <c r="B432" s="281"/>
      <c r="C432" s="281"/>
      <c r="D432" s="281"/>
    </row>
    <row r="433" spans="2:4">
      <c r="B433" s="281"/>
      <c r="C433" s="281"/>
      <c r="D433" s="281"/>
    </row>
    <row r="434" spans="2:4">
      <c r="B434" s="281"/>
      <c r="C434" s="281"/>
      <c r="D434" s="281"/>
    </row>
    <row r="435" spans="2:4">
      <c r="B435" s="281"/>
      <c r="C435" s="281"/>
      <c r="D435" s="281"/>
    </row>
    <row r="436" spans="2:4">
      <c r="B436" s="281"/>
      <c r="C436" s="281"/>
      <c r="D436" s="281"/>
    </row>
    <row r="437" spans="2:4">
      <c r="B437" s="281"/>
      <c r="C437" s="281"/>
      <c r="D437" s="281"/>
    </row>
    <row r="438" spans="2:4">
      <c r="B438" s="281"/>
      <c r="C438" s="281"/>
      <c r="D438" s="281"/>
    </row>
    <row r="439" spans="2:4">
      <c r="B439" s="281"/>
      <c r="C439" s="281"/>
      <c r="D439" s="281"/>
    </row>
    <row r="440" spans="2:4">
      <c r="B440" s="281"/>
      <c r="C440" s="281"/>
      <c r="D440" s="281"/>
    </row>
    <row r="441" spans="2:4">
      <c r="B441" s="281"/>
      <c r="C441" s="281"/>
      <c r="D441" s="281"/>
    </row>
    <row r="442" spans="2:4">
      <c r="B442" s="281"/>
      <c r="C442" s="281"/>
      <c r="D442" s="281"/>
    </row>
    <row r="443" spans="2:4">
      <c r="B443" s="281"/>
      <c r="C443" s="281"/>
      <c r="D443" s="281"/>
    </row>
    <row r="444" spans="2:4">
      <c r="B444" s="281"/>
      <c r="C444" s="281"/>
      <c r="D444" s="281"/>
    </row>
    <row r="445" spans="2:4">
      <c r="B445" s="281"/>
      <c r="C445" s="281"/>
      <c r="D445" s="281"/>
    </row>
    <row r="446" spans="2:4">
      <c r="B446" s="281"/>
      <c r="C446" s="281"/>
      <c r="D446" s="281"/>
    </row>
    <row r="447" spans="2:4">
      <c r="B447" s="281"/>
      <c r="C447" s="281"/>
      <c r="D447" s="281"/>
    </row>
    <row r="448" spans="2:4">
      <c r="B448" s="281"/>
      <c r="C448" s="281"/>
      <c r="D448" s="281"/>
    </row>
    <row r="449" spans="2:4">
      <c r="B449" s="281"/>
      <c r="C449" s="281"/>
      <c r="D449" s="281"/>
    </row>
    <row r="450" spans="2:4">
      <c r="B450" s="281"/>
      <c r="C450" s="281"/>
      <c r="D450" s="281"/>
    </row>
    <row r="451" spans="2:4">
      <c r="B451" s="281"/>
      <c r="C451" s="281"/>
      <c r="D451" s="281"/>
    </row>
    <row r="452" spans="2:4">
      <c r="B452" s="281"/>
      <c r="C452" s="281"/>
      <c r="D452" s="281"/>
    </row>
    <row r="453" spans="2:4">
      <c r="B453" s="281"/>
      <c r="C453" s="281"/>
      <c r="D453" s="281"/>
    </row>
    <row r="454" spans="2:4">
      <c r="B454" s="281"/>
      <c r="C454" s="281"/>
      <c r="D454" s="281"/>
    </row>
    <row r="455" spans="2:4">
      <c r="B455" s="281"/>
      <c r="C455" s="281"/>
      <c r="D455" s="281"/>
    </row>
    <row r="456" spans="2:4">
      <c r="B456" s="281"/>
      <c r="C456" s="281"/>
      <c r="D456" s="281"/>
    </row>
    <row r="457" spans="2:4">
      <c r="B457" s="281"/>
      <c r="C457" s="281"/>
      <c r="D457" s="281"/>
    </row>
    <row r="458" spans="2:4">
      <c r="B458" s="281"/>
      <c r="C458" s="281"/>
      <c r="D458" s="281"/>
    </row>
    <row r="459" spans="2:4">
      <c r="B459" s="281"/>
      <c r="C459" s="281"/>
      <c r="D459" s="281"/>
    </row>
    <row r="460" spans="2:4">
      <c r="B460" s="281"/>
      <c r="C460" s="281"/>
      <c r="D460" s="281"/>
    </row>
    <row r="461" spans="2:4">
      <c r="B461" s="281"/>
      <c r="C461" s="281"/>
      <c r="D461" s="281"/>
    </row>
    <row r="462" spans="2:4">
      <c r="B462" s="281"/>
      <c r="C462" s="281"/>
      <c r="D462" s="281"/>
    </row>
    <row r="463" spans="2:4">
      <c r="B463" s="281"/>
      <c r="C463" s="281"/>
      <c r="D463" s="281"/>
    </row>
    <row r="464" spans="2:4">
      <c r="B464" s="281"/>
      <c r="C464" s="281"/>
      <c r="D464" s="281"/>
    </row>
    <row r="465" spans="2:4">
      <c r="B465" s="281"/>
      <c r="C465" s="281"/>
      <c r="D465" s="281"/>
    </row>
    <row r="466" spans="2:4">
      <c r="B466" s="281"/>
      <c r="C466" s="281"/>
      <c r="D466" s="281"/>
    </row>
    <row r="467" spans="2:4">
      <c r="B467" s="281"/>
      <c r="C467" s="281"/>
      <c r="D467" s="281"/>
    </row>
    <row r="468" spans="2:4">
      <c r="B468" s="281"/>
      <c r="C468" s="281"/>
      <c r="D468" s="281"/>
    </row>
    <row r="469" spans="2:4">
      <c r="B469" s="281"/>
      <c r="C469" s="281"/>
      <c r="D469" s="281"/>
    </row>
    <row r="470" spans="2:4">
      <c r="B470" s="281"/>
      <c r="C470" s="281"/>
      <c r="D470" s="281"/>
    </row>
    <row r="471" spans="2:4">
      <c r="B471" s="281"/>
      <c r="C471" s="281"/>
      <c r="D471" s="281"/>
    </row>
    <row r="472" spans="2:4">
      <c r="B472" s="281"/>
      <c r="C472" s="281"/>
      <c r="D472" s="281"/>
    </row>
    <row r="473" spans="2:4">
      <c r="B473" s="281"/>
      <c r="C473" s="281"/>
      <c r="D473" s="281"/>
    </row>
    <row r="474" spans="2:4">
      <c r="B474" s="281"/>
      <c r="C474" s="281"/>
      <c r="D474" s="281"/>
    </row>
    <row r="475" spans="2:4">
      <c r="B475" s="281"/>
      <c r="C475" s="281"/>
      <c r="D475" s="281"/>
    </row>
    <row r="476" spans="2:4">
      <c r="B476" s="281"/>
      <c r="C476" s="281"/>
      <c r="D476" s="281"/>
    </row>
    <row r="477" spans="2:4">
      <c r="B477" s="281"/>
      <c r="C477" s="281"/>
      <c r="D477" s="281"/>
    </row>
    <row r="478" spans="2:4">
      <c r="B478" s="281"/>
      <c r="C478" s="281"/>
      <c r="D478" s="281"/>
    </row>
    <row r="479" spans="2:4">
      <c r="B479" s="281"/>
      <c r="C479" s="281"/>
      <c r="D479" s="281"/>
    </row>
    <row r="480" spans="2:4">
      <c r="B480" s="281"/>
      <c r="C480" s="281"/>
      <c r="D480" s="281"/>
    </row>
    <row r="481" spans="2:4">
      <c r="B481" s="281"/>
      <c r="C481" s="281"/>
      <c r="D481" s="281"/>
    </row>
    <row r="482" spans="2:4">
      <c r="B482" s="281"/>
      <c r="C482" s="281"/>
      <c r="D482" s="281"/>
    </row>
    <row r="483" spans="2:4">
      <c r="B483" s="281"/>
      <c r="C483" s="281"/>
      <c r="D483" s="281"/>
    </row>
    <row r="484" spans="2:4">
      <c r="B484" s="281"/>
      <c r="C484" s="281"/>
      <c r="D484" s="281"/>
    </row>
    <row r="485" spans="2:4">
      <c r="B485" s="281"/>
      <c r="C485" s="281"/>
      <c r="D485" s="281"/>
    </row>
    <row r="486" spans="2:4">
      <c r="B486" s="281"/>
      <c r="C486" s="281"/>
      <c r="D486" s="281"/>
    </row>
    <row r="487" spans="2:4">
      <c r="B487" s="281"/>
      <c r="C487" s="281"/>
      <c r="D487" s="281"/>
    </row>
    <row r="488" spans="2:4">
      <c r="B488" s="281"/>
      <c r="C488" s="281"/>
      <c r="D488" s="281"/>
    </row>
    <row r="489" spans="2:4">
      <c r="B489" s="281"/>
      <c r="C489" s="281"/>
      <c r="D489" s="281"/>
    </row>
    <row r="490" spans="2:4">
      <c r="B490" s="281"/>
      <c r="C490" s="281"/>
      <c r="D490" s="281"/>
    </row>
    <row r="491" spans="2:4">
      <c r="B491" s="281"/>
      <c r="C491" s="281"/>
      <c r="D491" s="281"/>
    </row>
    <row r="492" spans="2:4">
      <c r="B492" s="281"/>
      <c r="C492" s="281"/>
      <c r="D492" s="281"/>
    </row>
    <row r="493" spans="2:4">
      <c r="B493" s="281"/>
      <c r="C493" s="281"/>
      <c r="D493" s="281"/>
    </row>
    <row r="494" spans="2:4">
      <c r="B494" s="281"/>
      <c r="C494" s="281"/>
      <c r="D494" s="281"/>
    </row>
    <row r="495" spans="2:4">
      <c r="B495" s="281"/>
      <c r="C495" s="281"/>
      <c r="D495" s="281"/>
    </row>
    <row r="496" spans="2:4">
      <c r="B496" s="281"/>
      <c r="C496" s="281"/>
      <c r="D496" s="281"/>
    </row>
    <row r="497" spans="2:4">
      <c r="B497" s="281"/>
      <c r="C497" s="281"/>
      <c r="D497" s="281"/>
    </row>
    <row r="498" spans="2:4">
      <c r="B498" s="281"/>
      <c r="C498" s="281"/>
      <c r="D498" s="281"/>
    </row>
    <row r="499" spans="2:4">
      <c r="B499" s="281"/>
      <c r="C499" s="281"/>
      <c r="D499" s="281"/>
    </row>
    <row r="500" spans="2:4">
      <c r="B500" s="281"/>
      <c r="C500" s="281"/>
      <c r="D500" s="281"/>
    </row>
    <row r="501" spans="2:4">
      <c r="B501" s="281"/>
      <c r="C501" s="281"/>
      <c r="D501" s="281"/>
    </row>
    <row r="502" spans="2:4">
      <c r="B502" s="281"/>
      <c r="C502" s="281"/>
      <c r="D502" s="281"/>
    </row>
    <row r="503" spans="2:4">
      <c r="B503" s="281"/>
      <c r="C503" s="281"/>
      <c r="D503" s="281"/>
    </row>
    <row r="504" spans="2:4">
      <c r="B504" s="281"/>
      <c r="C504" s="281"/>
      <c r="D504" s="281"/>
    </row>
    <row r="505" spans="2:4">
      <c r="B505" s="281"/>
      <c r="C505" s="281"/>
      <c r="D505" s="281"/>
    </row>
    <row r="506" spans="2:4">
      <c r="B506" s="281"/>
      <c r="C506" s="281"/>
      <c r="D506" s="281"/>
    </row>
    <row r="507" spans="2:4">
      <c r="B507" s="281"/>
      <c r="C507" s="281"/>
      <c r="D507" s="281"/>
    </row>
    <row r="508" spans="2:4">
      <c r="B508" s="281"/>
      <c r="C508" s="281"/>
      <c r="D508" s="281"/>
    </row>
    <row r="509" spans="2:4">
      <c r="B509" s="281"/>
      <c r="C509" s="281"/>
      <c r="D509" s="281"/>
    </row>
    <row r="510" spans="2:4">
      <c r="B510" s="281"/>
      <c r="C510" s="281"/>
      <c r="D510" s="281"/>
    </row>
    <row r="511" spans="2:4">
      <c r="B511" s="281"/>
      <c r="C511" s="281"/>
      <c r="D511" s="281"/>
    </row>
    <row r="512" spans="2:4">
      <c r="B512" s="281"/>
      <c r="C512" s="281"/>
      <c r="D512" s="281"/>
    </row>
    <row r="513" spans="2:4">
      <c r="B513" s="281"/>
      <c r="C513" s="281"/>
      <c r="D513" s="281"/>
    </row>
    <row r="514" spans="2:4">
      <c r="B514" s="281"/>
      <c r="C514" s="281"/>
      <c r="D514" s="281"/>
    </row>
    <row r="515" spans="2:4">
      <c r="B515" s="281"/>
      <c r="C515" s="281"/>
      <c r="D515" s="281"/>
    </row>
    <row r="516" spans="2:4">
      <c r="B516" s="281"/>
      <c r="C516" s="281"/>
      <c r="D516" s="281"/>
    </row>
    <row r="517" spans="2:4">
      <c r="B517" s="281"/>
      <c r="C517" s="281"/>
      <c r="D517" s="281"/>
    </row>
    <row r="518" spans="2:4">
      <c r="B518" s="281"/>
      <c r="C518" s="281"/>
      <c r="D518" s="281"/>
    </row>
    <row r="519" spans="2:4">
      <c r="B519" s="281"/>
      <c r="C519" s="281"/>
      <c r="D519" s="281"/>
    </row>
    <row r="520" spans="2:4">
      <c r="B520" s="281"/>
      <c r="C520" s="281"/>
      <c r="D520" s="281"/>
    </row>
    <row r="521" spans="2:4">
      <c r="B521" s="281"/>
      <c r="C521" s="281"/>
      <c r="D521" s="281"/>
    </row>
    <row r="522" spans="2:4">
      <c r="B522" s="281"/>
      <c r="C522" s="281"/>
      <c r="D522" s="281"/>
    </row>
    <row r="523" spans="2:4">
      <c r="B523" s="281"/>
      <c r="C523" s="281"/>
      <c r="D523" s="281"/>
    </row>
    <row r="524" spans="2:4">
      <c r="B524" s="281"/>
      <c r="C524" s="281"/>
      <c r="D524" s="281"/>
    </row>
    <row r="525" spans="2:4">
      <c r="B525" s="281"/>
      <c r="C525" s="281"/>
      <c r="D525" s="281"/>
    </row>
    <row r="526" spans="2:4">
      <c r="B526" s="281"/>
      <c r="C526" s="281"/>
      <c r="D526" s="281"/>
    </row>
    <row r="527" spans="2:4">
      <c r="B527" s="281"/>
      <c r="C527" s="281"/>
      <c r="D527" s="281"/>
    </row>
    <row r="528" spans="2:4">
      <c r="B528" s="281"/>
      <c r="C528" s="281"/>
      <c r="D528" s="281"/>
    </row>
    <row r="529" spans="2:4">
      <c r="B529" s="281"/>
      <c r="C529" s="281"/>
      <c r="D529" s="281"/>
    </row>
    <row r="530" spans="2:4">
      <c r="B530" s="281"/>
      <c r="C530" s="281"/>
      <c r="D530" s="281"/>
    </row>
    <row r="531" spans="2:4">
      <c r="B531" s="281"/>
      <c r="C531" s="281"/>
      <c r="D531" s="281"/>
    </row>
    <row r="532" spans="2:4">
      <c r="B532" s="281"/>
      <c r="C532" s="281"/>
      <c r="D532" s="281"/>
    </row>
    <row r="533" spans="2:4">
      <c r="B533" s="281"/>
      <c r="C533" s="281"/>
      <c r="D533" s="281"/>
    </row>
    <row r="534" spans="2:4">
      <c r="B534" s="281"/>
      <c r="C534" s="281"/>
      <c r="D534" s="281"/>
    </row>
    <row r="535" spans="2:4">
      <c r="B535" s="281"/>
      <c r="C535" s="281"/>
      <c r="D535" s="281"/>
    </row>
    <row r="536" spans="2:4">
      <c r="B536" s="281"/>
      <c r="C536" s="281"/>
      <c r="D536" s="281"/>
    </row>
    <row r="537" spans="2:4">
      <c r="B537" s="281"/>
      <c r="C537" s="281"/>
      <c r="D537" s="281"/>
    </row>
    <row r="538" spans="2:4">
      <c r="B538" s="281"/>
      <c r="C538" s="281"/>
      <c r="D538" s="281"/>
    </row>
    <row r="539" spans="2:4">
      <c r="B539" s="281"/>
      <c r="C539" s="281"/>
      <c r="D539" s="281"/>
    </row>
    <row r="540" spans="2:4">
      <c r="B540" s="281"/>
      <c r="C540" s="281"/>
      <c r="D540" s="281"/>
    </row>
    <row r="541" spans="2:4">
      <c r="B541" s="281"/>
      <c r="C541" s="281"/>
      <c r="D541" s="281"/>
    </row>
    <row r="542" spans="2:4">
      <c r="B542" s="281"/>
      <c r="C542" s="281"/>
      <c r="D542" s="281"/>
    </row>
    <row r="543" spans="2:4">
      <c r="B543" s="281"/>
      <c r="C543" s="281"/>
      <c r="D543" s="281"/>
    </row>
    <row r="544" spans="2:4">
      <c r="B544" s="281"/>
      <c r="C544" s="281"/>
      <c r="D544" s="281"/>
    </row>
    <row r="545" spans="2:4">
      <c r="B545" s="281"/>
      <c r="C545" s="281"/>
      <c r="D545" s="281"/>
    </row>
    <row r="546" spans="2:4">
      <c r="B546" s="281"/>
      <c r="C546" s="281"/>
      <c r="D546" s="281"/>
    </row>
    <row r="547" spans="2:4">
      <c r="B547" s="281"/>
      <c r="C547" s="281"/>
      <c r="D547" s="281"/>
    </row>
    <row r="548" spans="2:4">
      <c r="B548" s="281"/>
      <c r="C548" s="281"/>
      <c r="D548" s="281"/>
    </row>
    <row r="549" spans="2:4">
      <c r="B549" s="281"/>
      <c r="C549" s="281"/>
      <c r="D549" s="281"/>
    </row>
    <row r="550" spans="2:4">
      <c r="B550" s="281"/>
      <c r="C550" s="281"/>
      <c r="D550" s="281"/>
    </row>
    <row r="551" spans="2:4">
      <c r="B551" s="281"/>
      <c r="C551" s="281"/>
      <c r="D551" s="281"/>
    </row>
    <row r="552" spans="2:4">
      <c r="B552" s="281"/>
      <c r="C552" s="281"/>
      <c r="D552" s="281"/>
    </row>
    <row r="553" spans="2:4">
      <c r="B553" s="281"/>
      <c r="C553" s="281"/>
      <c r="D553" s="281"/>
    </row>
    <row r="554" spans="2:4">
      <c r="B554" s="281"/>
      <c r="C554" s="281"/>
      <c r="D554" s="281"/>
    </row>
    <row r="555" spans="2:4">
      <c r="B555" s="281"/>
      <c r="C555" s="281"/>
      <c r="D555" s="281"/>
    </row>
    <row r="556" spans="2:4">
      <c r="B556" s="281"/>
      <c r="C556" s="281"/>
      <c r="D556" s="281"/>
    </row>
    <row r="557" spans="2:4">
      <c r="B557" s="281"/>
      <c r="C557" s="281"/>
      <c r="D557" s="281"/>
    </row>
    <row r="558" spans="2:4">
      <c r="B558" s="281"/>
      <c r="C558" s="281"/>
      <c r="D558" s="281"/>
    </row>
    <row r="559" spans="2:4">
      <c r="B559" s="281"/>
      <c r="C559" s="281"/>
      <c r="D559" s="281"/>
    </row>
    <row r="560" spans="2:4">
      <c r="B560" s="281"/>
      <c r="C560" s="281"/>
      <c r="D560" s="281"/>
    </row>
    <row r="561" spans="2:4">
      <c r="B561" s="281"/>
      <c r="C561" s="281"/>
      <c r="D561" s="281"/>
    </row>
    <row r="562" spans="2:4">
      <c r="B562" s="281"/>
      <c r="C562" s="281"/>
      <c r="D562" s="281"/>
    </row>
    <row r="563" spans="2:4">
      <c r="B563" s="281"/>
      <c r="C563" s="281"/>
      <c r="D563" s="281"/>
    </row>
    <row r="564" spans="2:4">
      <c r="B564" s="281"/>
      <c r="C564" s="281"/>
      <c r="D564" s="281"/>
    </row>
    <row r="565" spans="2:4">
      <c r="B565" s="281"/>
      <c r="C565" s="281"/>
      <c r="D565" s="281"/>
    </row>
    <row r="566" spans="2:4">
      <c r="B566" s="281"/>
      <c r="C566" s="281"/>
      <c r="D566" s="281"/>
    </row>
    <row r="567" spans="2:4">
      <c r="B567" s="281"/>
      <c r="C567" s="281"/>
      <c r="D567" s="281"/>
    </row>
    <row r="568" spans="2:4">
      <c r="B568" s="281"/>
      <c r="C568" s="281"/>
      <c r="D568" s="281"/>
    </row>
    <row r="569" spans="2:4">
      <c r="B569" s="281"/>
      <c r="C569" s="281"/>
      <c r="D569" s="281"/>
    </row>
    <row r="570" spans="2:4">
      <c r="B570" s="281"/>
      <c r="C570" s="281"/>
      <c r="D570" s="281"/>
    </row>
    <row r="571" spans="2:4">
      <c r="B571" s="281"/>
      <c r="C571" s="281"/>
      <c r="D571" s="281"/>
    </row>
    <row r="572" spans="2:4">
      <c r="B572" s="281"/>
      <c r="C572" s="281"/>
      <c r="D572" s="281"/>
    </row>
    <row r="573" spans="2:4">
      <c r="B573" s="281"/>
      <c r="C573" s="281"/>
      <c r="D573" s="281"/>
    </row>
    <row r="574" spans="2:4">
      <c r="B574" s="281"/>
      <c r="C574" s="281"/>
      <c r="D574" s="281"/>
    </row>
    <row r="575" spans="2:4">
      <c r="B575" s="281"/>
      <c r="C575" s="281"/>
      <c r="D575" s="281"/>
    </row>
    <row r="576" spans="2:4">
      <c r="B576" s="281"/>
      <c r="C576" s="281"/>
      <c r="D576" s="281"/>
    </row>
    <row r="577" spans="2:4">
      <c r="B577" s="281"/>
      <c r="C577" s="281"/>
      <c r="D577" s="281"/>
    </row>
    <row r="578" spans="2:4">
      <c r="B578" s="281"/>
      <c r="C578" s="281"/>
      <c r="D578" s="281"/>
    </row>
    <row r="579" spans="2:4">
      <c r="B579" s="281"/>
      <c r="C579" s="281"/>
      <c r="D579" s="281"/>
    </row>
    <row r="580" spans="2:4">
      <c r="B580" s="281"/>
      <c r="C580" s="281"/>
      <c r="D580" s="281"/>
    </row>
    <row r="581" spans="2:4">
      <c r="B581" s="281"/>
      <c r="C581" s="281"/>
      <c r="D581" s="281"/>
    </row>
    <row r="582" spans="2:4">
      <c r="B582" s="281"/>
      <c r="C582" s="281"/>
      <c r="D582" s="281"/>
    </row>
    <row r="583" spans="2:4">
      <c r="B583" s="281"/>
      <c r="C583" s="281"/>
      <c r="D583" s="281"/>
    </row>
    <row r="584" spans="2:4">
      <c r="B584" s="281"/>
      <c r="C584" s="281"/>
      <c r="D584" s="281"/>
    </row>
    <row r="585" spans="2:4">
      <c r="B585" s="281"/>
      <c r="C585" s="281"/>
      <c r="D585" s="281"/>
    </row>
    <row r="586" spans="2:4">
      <c r="B586" s="281"/>
      <c r="C586" s="281"/>
      <c r="D586" s="281"/>
    </row>
    <row r="587" spans="2:4">
      <c r="B587" s="281"/>
      <c r="C587" s="281"/>
      <c r="D587" s="281"/>
    </row>
    <row r="588" spans="2:4">
      <c r="B588" s="281"/>
      <c r="C588" s="281"/>
      <c r="D588" s="281"/>
    </row>
    <row r="589" spans="2:4">
      <c r="B589" s="281"/>
      <c r="C589" s="281"/>
      <c r="D589" s="281"/>
    </row>
    <row r="590" spans="2:4">
      <c r="B590" s="281"/>
      <c r="C590" s="281"/>
      <c r="D590" s="281"/>
    </row>
    <row r="591" spans="2:4">
      <c r="B591" s="281"/>
      <c r="C591" s="281"/>
      <c r="D591" s="281"/>
    </row>
    <row r="592" spans="2:4">
      <c r="B592" s="281"/>
      <c r="C592" s="281"/>
      <c r="D592" s="281"/>
    </row>
    <row r="593" spans="2:4">
      <c r="B593" s="281"/>
      <c r="C593" s="281"/>
      <c r="D593" s="281"/>
    </row>
    <row r="594" spans="2:4">
      <c r="B594" s="281"/>
      <c r="C594" s="281"/>
      <c r="D594" s="281"/>
    </row>
    <row r="595" spans="2:4">
      <c r="B595" s="281"/>
      <c r="C595" s="281"/>
      <c r="D595" s="281"/>
    </row>
    <row r="596" spans="2:4">
      <c r="B596" s="281"/>
      <c r="C596" s="281"/>
      <c r="D596" s="281"/>
    </row>
    <row r="597" spans="2:4">
      <c r="B597" s="281"/>
      <c r="C597" s="281"/>
      <c r="D597" s="281"/>
    </row>
    <row r="598" spans="2:4">
      <c r="B598" s="281"/>
      <c r="C598" s="281"/>
      <c r="D598" s="281"/>
    </row>
    <row r="599" spans="2:4">
      <c r="B599" s="281"/>
      <c r="C599" s="281"/>
      <c r="D599" s="281"/>
    </row>
    <row r="600" spans="2:4">
      <c r="B600" s="281"/>
      <c r="C600" s="281"/>
      <c r="D600" s="281"/>
    </row>
    <row r="601" spans="2:4">
      <c r="B601" s="281"/>
      <c r="C601" s="281"/>
      <c r="D601" s="281"/>
    </row>
    <row r="602" spans="2:4">
      <c r="B602" s="281"/>
      <c r="C602" s="281"/>
      <c r="D602" s="281"/>
    </row>
    <row r="603" spans="2:4">
      <c r="B603" s="281"/>
      <c r="C603" s="281"/>
      <c r="D603" s="281"/>
    </row>
    <row r="604" spans="2:4">
      <c r="B604" s="281"/>
      <c r="C604" s="281"/>
      <c r="D604" s="281"/>
    </row>
    <row r="605" spans="2:4">
      <c r="B605" s="281"/>
      <c r="C605" s="281"/>
      <c r="D605" s="281"/>
    </row>
    <row r="606" spans="2:4">
      <c r="B606" s="281"/>
      <c r="C606" s="281"/>
      <c r="D606" s="281"/>
    </row>
    <row r="607" spans="2:4">
      <c r="B607" s="281"/>
      <c r="C607" s="281"/>
      <c r="D607" s="281"/>
    </row>
    <row r="608" spans="2:4">
      <c r="B608" s="281"/>
      <c r="C608" s="281"/>
      <c r="D608" s="281"/>
    </row>
    <row r="609" spans="2:4">
      <c r="B609" s="281"/>
      <c r="C609" s="281"/>
      <c r="D609" s="281"/>
    </row>
    <row r="610" spans="2:4">
      <c r="B610" s="281"/>
      <c r="C610" s="281"/>
      <c r="D610" s="281"/>
    </row>
    <row r="611" spans="2:4">
      <c r="B611" s="281"/>
      <c r="C611" s="281"/>
      <c r="D611" s="281"/>
    </row>
    <row r="612" spans="2:4">
      <c r="B612" s="281"/>
      <c r="C612" s="281"/>
      <c r="D612" s="281"/>
    </row>
    <row r="613" spans="2:4">
      <c r="B613" s="281"/>
      <c r="C613" s="281"/>
      <c r="D613" s="281"/>
    </row>
    <row r="614" spans="2:4">
      <c r="B614" s="281"/>
      <c r="C614" s="281"/>
      <c r="D614" s="281"/>
    </row>
    <row r="615" spans="2:4">
      <c r="B615" s="281"/>
      <c r="C615" s="281"/>
      <c r="D615" s="281"/>
    </row>
    <row r="616" spans="2:4">
      <c r="B616" s="281"/>
      <c r="C616" s="281"/>
      <c r="D616" s="281"/>
    </row>
    <row r="617" spans="2:4">
      <c r="B617" s="281"/>
      <c r="C617" s="281"/>
      <c r="D617" s="281"/>
    </row>
    <row r="618" spans="2:4">
      <c r="B618" s="281"/>
      <c r="C618" s="281"/>
      <c r="D618" s="281"/>
    </row>
    <row r="619" spans="2:4">
      <c r="B619" s="281"/>
      <c r="C619" s="281"/>
      <c r="D619" s="281"/>
    </row>
    <row r="620" spans="2:4">
      <c r="B620" s="281"/>
      <c r="C620" s="281"/>
      <c r="D620" s="281"/>
    </row>
    <row r="621" spans="2:4">
      <c r="B621" s="281"/>
      <c r="C621" s="281"/>
      <c r="D621" s="281"/>
    </row>
    <row r="622" spans="2:4">
      <c r="B622" s="281"/>
      <c r="C622" s="281"/>
      <c r="D622" s="281"/>
    </row>
    <row r="623" spans="2:4">
      <c r="B623" s="281"/>
      <c r="C623" s="281"/>
      <c r="D623" s="281"/>
    </row>
    <row r="624" spans="2:4">
      <c r="B624" s="281"/>
      <c r="C624" s="281"/>
      <c r="D624" s="281"/>
    </row>
    <row r="625" spans="2:4">
      <c r="B625" s="281"/>
      <c r="C625" s="281"/>
      <c r="D625" s="281"/>
    </row>
    <row r="626" spans="2:4">
      <c r="B626" s="281"/>
      <c r="C626" s="281"/>
      <c r="D626" s="281"/>
    </row>
    <row r="627" spans="2:4">
      <c r="B627" s="281"/>
      <c r="C627" s="281"/>
      <c r="D627" s="281"/>
    </row>
    <row r="628" spans="2:4">
      <c r="B628" s="281"/>
      <c r="C628" s="281"/>
      <c r="D628" s="281"/>
    </row>
    <row r="629" spans="2:4">
      <c r="B629" s="281"/>
      <c r="C629" s="281"/>
      <c r="D629" s="281"/>
    </row>
    <row r="630" spans="2:4">
      <c r="B630" s="281"/>
      <c r="C630" s="281"/>
      <c r="D630" s="281"/>
    </row>
    <row r="631" spans="2:4">
      <c r="B631" s="281"/>
      <c r="C631" s="281"/>
      <c r="D631" s="281"/>
    </row>
    <row r="632" spans="2:4">
      <c r="B632" s="281"/>
      <c r="C632" s="281"/>
      <c r="D632" s="281"/>
    </row>
    <row r="633" spans="2:4">
      <c r="B633" s="281"/>
      <c r="C633" s="281"/>
      <c r="D633" s="281"/>
    </row>
    <row r="634" spans="2:4">
      <c r="B634" s="281"/>
      <c r="C634" s="281"/>
      <c r="D634" s="281"/>
    </row>
    <row r="635" spans="2:4">
      <c r="B635" s="281"/>
      <c r="C635" s="281"/>
      <c r="D635" s="281"/>
    </row>
    <row r="636" spans="2:4">
      <c r="B636" s="281"/>
      <c r="C636" s="281"/>
      <c r="D636" s="281"/>
    </row>
    <row r="637" spans="2:4">
      <c r="B637" s="281"/>
      <c r="C637" s="281"/>
      <c r="D637" s="281"/>
    </row>
    <row r="638" spans="2:4">
      <c r="B638" s="281"/>
      <c r="C638" s="281"/>
      <c r="D638" s="281"/>
    </row>
    <row r="639" spans="2:4">
      <c r="B639" s="281"/>
      <c r="C639" s="281"/>
      <c r="D639" s="281"/>
    </row>
    <row r="640" spans="2:4">
      <c r="B640" s="281"/>
      <c r="C640" s="281"/>
      <c r="D640" s="281"/>
    </row>
    <row r="641" spans="2:4">
      <c r="B641" s="281"/>
      <c r="C641" s="281"/>
      <c r="D641" s="281"/>
    </row>
    <row r="642" spans="2:4">
      <c r="B642" s="281"/>
      <c r="C642" s="281"/>
      <c r="D642" s="281"/>
    </row>
    <row r="643" spans="2:4">
      <c r="B643" s="281"/>
      <c r="C643" s="281"/>
      <c r="D643" s="281"/>
    </row>
    <row r="644" spans="2:4">
      <c r="B644" s="281"/>
      <c r="C644" s="281"/>
      <c r="D644" s="281"/>
    </row>
    <row r="645" spans="2:4">
      <c r="B645" s="281"/>
      <c r="C645" s="281"/>
      <c r="D645" s="281"/>
    </row>
    <row r="646" spans="2:4">
      <c r="B646" s="281"/>
      <c r="C646" s="281"/>
      <c r="D646" s="281"/>
    </row>
    <row r="647" spans="2:4">
      <c r="B647" s="281"/>
      <c r="C647" s="281"/>
      <c r="D647" s="281"/>
    </row>
    <row r="648" spans="2:4">
      <c r="B648" s="281"/>
      <c r="C648" s="281"/>
      <c r="D648" s="281"/>
    </row>
    <row r="649" spans="2:4">
      <c r="B649" s="281"/>
      <c r="C649" s="281"/>
      <c r="D649" s="281"/>
    </row>
    <row r="650" spans="2:4">
      <c r="B650" s="281"/>
      <c r="C650" s="281"/>
      <c r="D650" s="281"/>
    </row>
    <row r="651" spans="2:4">
      <c r="B651" s="281"/>
      <c r="C651" s="281"/>
      <c r="D651" s="281"/>
    </row>
    <row r="652" spans="2:4">
      <c r="B652" s="281"/>
      <c r="C652" s="281"/>
      <c r="D652" s="281"/>
    </row>
    <row r="653" spans="2:4">
      <c r="B653" s="281"/>
      <c r="C653" s="281"/>
      <c r="D653" s="281"/>
    </row>
    <row r="654" spans="2:4">
      <c r="B654" s="281"/>
      <c r="C654" s="281"/>
      <c r="D654" s="281"/>
    </row>
    <row r="655" spans="2:4">
      <c r="B655" s="281"/>
      <c r="C655" s="281"/>
      <c r="D655" s="281"/>
    </row>
    <row r="656" spans="2:4">
      <c r="B656" s="281"/>
      <c r="C656" s="281"/>
      <c r="D656" s="281"/>
    </row>
    <row r="657" spans="2:4">
      <c r="B657" s="281"/>
      <c r="C657" s="281"/>
      <c r="D657" s="281"/>
    </row>
    <row r="658" spans="2:4">
      <c r="B658" s="281"/>
      <c r="C658" s="281"/>
      <c r="D658" s="281"/>
    </row>
    <row r="659" spans="2:4">
      <c r="B659" s="281"/>
      <c r="C659" s="281"/>
      <c r="D659" s="281"/>
    </row>
    <row r="660" spans="2:4">
      <c r="B660" s="281"/>
      <c r="C660" s="281"/>
      <c r="D660" s="281"/>
    </row>
    <row r="661" spans="2:4">
      <c r="B661" s="281"/>
      <c r="C661" s="281"/>
      <c r="D661" s="281"/>
    </row>
    <row r="662" spans="2:4">
      <c r="B662" s="281"/>
      <c r="C662" s="281"/>
      <c r="D662" s="281"/>
    </row>
    <row r="663" spans="2:4">
      <c r="B663" s="281"/>
      <c r="C663" s="281"/>
      <c r="D663" s="281"/>
    </row>
    <row r="664" spans="2:4">
      <c r="B664" s="281"/>
      <c r="C664" s="281"/>
      <c r="D664" s="281"/>
    </row>
    <row r="665" spans="2:4">
      <c r="B665" s="281"/>
      <c r="C665" s="281"/>
      <c r="D665" s="281"/>
    </row>
    <row r="666" spans="2:4">
      <c r="B666" s="281"/>
      <c r="C666" s="281"/>
      <c r="D666" s="281"/>
    </row>
    <row r="667" spans="2:4">
      <c r="B667" s="281"/>
      <c r="C667" s="281"/>
      <c r="D667" s="281"/>
    </row>
    <row r="668" spans="2:4">
      <c r="B668" s="281"/>
      <c r="C668" s="281"/>
      <c r="D668" s="281"/>
    </row>
    <row r="669" spans="2:4">
      <c r="B669" s="281"/>
      <c r="C669" s="281"/>
      <c r="D669" s="281"/>
    </row>
    <row r="670" spans="2:4">
      <c r="B670" s="281"/>
      <c r="C670" s="281"/>
      <c r="D670" s="281"/>
    </row>
    <row r="671" spans="2:4">
      <c r="B671" s="281"/>
      <c r="C671" s="281"/>
      <c r="D671" s="281"/>
    </row>
    <row r="672" spans="2:4">
      <c r="B672" s="281"/>
      <c r="C672" s="281"/>
      <c r="D672" s="281"/>
    </row>
    <row r="673" spans="2:4">
      <c r="B673" s="281"/>
      <c r="C673" s="281"/>
      <c r="D673" s="281"/>
    </row>
    <row r="674" spans="2:4">
      <c r="B674" s="281"/>
      <c r="C674" s="281"/>
      <c r="D674" s="281"/>
    </row>
    <row r="675" spans="2:4">
      <c r="B675" s="281"/>
      <c r="C675" s="281"/>
      <c r="D675" s="281"/>
    </row>
    <row r="676" spans="2:4">
      <c r="B676" s="281"/>
      <c r="C676" s="281"/>
      <c r="D676" s="281"/>
    </row>
    <row r="677" spans="2:4">
      <c r="B677" s="281"/>
      <c r="C677" s="281"/>
      <c r="D677" s="281"/>
    </row>
    <row r="678" spans="2:4">
      <c r="B678" s="281"/>
      <c r="C678" s="281"/>
      <c r="D678" s="281"/>
    </row>
    <row r="679" spans="2:4">
      <c r="B679" s="281"/>
      <c r="C679" s="281"/>
      <c r="D679" s="281"/>
    </row>
    <row r="680" spans="2:4">
      <c r="B680" s="281"/>
      <c r="C680" s="281"/>
      <c r="D680" s="281"/>
    </row>
    <row r="681" spans="2:4">
      <c r="B681" s="281"/>
      <c r="C681" s="281"/>
      <c r="D681" s="281"/>
    </row>
    <row r="682" spans="2:4">
      <c r="B682" s="281"/>
      <c r="C682" s="281"/>
      <c r="D682" s="281"/>
    </row>
    <row r="683" spans="2:4">
      <c r="B683" s="281"/>
      <c r="C683" s="281"/>
      <c r="D683" s="281"/>
    </row>
    <row r="684" spans="2:4">
      <c r="B684" s="281"/>
      <c r="C684" s="281"/>
      <c r="D684" s="281"/>
    </row>
    <row r="685" spans="2:4">
      <c r="B685" s="281"/>
      <c r="C685" s="281"/>
      <c r="D685" s="281"/>
    </row>
    <row r="686" spans="2:4">
      <c r="B686" s="281"/>
      <c r="C686" s="281"/>
      <c r="D686" s="281"/>
    </row>
    <row r="687" spans="2:4">
      <c r="B687" s="281"/>
      <c r="C687" s="281"/>
      <c r="D687" s="281"/>
    </row>
    <row r="688" spans="2:4">
      <c r="B688" s="281"/>
      <c r="C688" s="281"/>
      <c r="D688" s="281"/>
    </row>
    <row r="689" spans="2:4">
      <c r="B689" s="281"/>
      <c r="C689" s="281"/>
      <c r="D689" s="281"/>
    </row>
    <row r="690" spans="2:4">
      <c r="B690" s="281"/>
      <c r="C690" s="281"/>
      <c r="D690" s="281"/>
    </row>
    <row r="691" spans="2:4">
      <c r="B691" s="281"/>
      <c r="C691" s="281"/>
      <c r="D691" s="281"/>
    </row>
    <row r="692" spans="2:4">
      <c r="B692" s="281"/>
      <c r="C692" s="281"/>
      <c r="D692" s="281"/>
    </row>
    <row r="693" spans="2:4">
      <c r="B693" s="281"/>
      <c r="C693" s="281"/>
      <c r="D693" s="281"/>
    </row>
    <row r="694" spans="2:4">
      <c r="B694" s="281"/>
      <c r="C694" s="281"/>
      <c r="D694" s="281"/>
    </row>
    <row r="695" spans="2:4">
      <c r="B695" s="281"/>
      <c r="C695" s="281"/>
      <c r="D695" s="281"/>
    </row>
    <row r="696" spans="2:4">
      <c r="B696" s="281"/>
      <c r="C696" s="281"/>
      <c r="D696" s="281"/>
    </row>
    <row r="697" spans="2:4">
      <c r="B697" s="281"/>
      <c r="C697" s="281"/>
      <c r="D697" s="281"/>
    </row>
    <row r="698" spans="2:4">
      <c r="B698" s="281"/>
      <c r="C698" s="281"/>
      <c r="D698" s="281"/>
    </row>
    <row r="699" spans="2:4">
      <c r="B699" s="281"/>
      <c r="C699" s="281"/>
      <c r="D699" s="281"/>
    </row>
    <row r="700" spans="2:4">
      <c r="B700" s="281"/>
      <c r="C700" s="281"/>
      <c r="D700" s="281"/>
    </row>
    <row r="701" spans="2:4">
      <c r="B701" s="281"/>
      <c r="C701" s="281"/>
      <c r="D701" s="281"/>
    </row>
    <row r="702" spans="2:4">
      <c r="B702" s="281"/>
      <c r="C702" s="281"/>
      <c r="D702" s="281"/>
    </row>
    <row r="703" spans="2:4">
      <c r="B703" s="281"/>
      <c r="C703" s="281"/>
      <c r="D703" s="281"/>
    </row>
    <row r="704" spans="2:4">
      <c r="B704" s="281"/>
      <c r="C704" s="281"/>
      <c r="D704" s="281"/>
    </row>
    <row r="705" spans="2:4">
      <c r="B705" s="281"/>
      <c r="C705" s="281"/>
      <c r="D705" s="281"/>
    </row>
    <row r="706" spans="2:4">
      <c r="B706" s="281"/>
      <c r="C706" s="281"/>
      <c r="D706" s="281"/>
    </row>
    <row r="707" spans="2:4">
      <c r="B707" s="281"/>
      <c r="C707" s="281"/>
      <c r="D707" s="281"/>
    </row>
    <row r="708" spans="2:4">
      <c r="B708" s="281"/>
      <c r="C708" s="281"/>
      <c r="D708" s="281"/>
    </row>
    <row r="709" spans="2:4">
      <c r="B709" s="281"/>
      <c r="C709" s="281"/>
      <c r="D709" s="281"/>
    </row>
    <row r="710" spans="2:4">
      <c r="B710" s="281"/>
      <c r="C710" s="281"/>
      <c r="D710" s="281"/>
    </row>
    <row r="711" spans="2:4">
      <c r="B711" s="281"/>
      <c r="C711" s="281"/>
      <c r="D711" s="281"/>
    </row>
    <row r="712" spans="2:4">
      <c r="B712" s="281"/>
      <c r="C712" s="281"/>
      <c r="D712" s="281"/>
    </row>
    <row r="713" spans="2:4">
      <c r="B713" s="281"/>
      <c r="C713" s="281"/>
      <c r="D713" s="281"/>
    </row>
    <row r="714" spans="2:4">
      <c r="B714" s="281"/>
      <c r="C714" s="281"/>
      <c r="D714" s="281"/>
    </row>
    <row r="715" spans="2:4">
      <c r="B715" s="281"/>
      <c r="C715" s="281"/>
      <c r="D715" s="281"/>
    </row>
    <row r="716" spans="2:4">
      <c r="B716" s="281"/>
      <c r="C716" s="281"/>
      <c r="D716" s="281"/>
    </row>
    <row r="717" spans="2:4">
      <c r="B717" s="281"/>
      <c r="C717" s="281"/>
      <c r="D717" s="281"/>
    </row>
    <row r="718" spans="2:4">
      <c r="B718" s="281"/>
      <c r="C718" s="281"/>
      <c r="D718" s="281"/>
    </row>
    <row r="719" spans="2:4">
      <c r="B719" s="281"/>
      <c r="C719" s="281"/>
      <c r="D719" s="281"/>
    </row>
    <row r="720" spans="2:4">
      <c r="B720" s="281"/>
      <c r="C720" s="281"/>
      <c r="D720" s="281"/>
    </row>
    <row r="721" spans="2:4">
      <c r="B721" s="281"/>
      <c r="C721" s="281"/>
      <c r="D721" s="281"/>
    </row>
    <row r="722" spans="2:4">
      <c r="B722" s="281"/>
      <c r="C722" s="281"/>
      <c r="D722" s="281"/>
    </row>
    <row r="723" spans="2:4">
      <c r="B723" s="281"/>
      <c r="C723" s="281"/>
      <c r="D723" s="281"/>
    </row>
    <row r="724" spans="2:4">
      <c r="B724" s="281"/>
      <c r="C724" s="281"/>
      <c r="D724" s="281"/>
    </row>
    <row r="725" spans="2:4">
      <c r="B725" s="281"/>
      <c r="C725" s="281"/>
      <c r="D725" s="281"/>
    </row>
    <row r="726" spans="2:4">
      <c r="B726" s="281"/>
      <c r="C726" s="281"/>
      <c r="D726" s="281"/>
    </row>
    <row r="727" spans="2:4">
      <c r="B727" s="281"/>
      <c r="C727" s="281"/>
      <c r="D727" s="281"/>
    </row>
    <row r="728" spans="2:4">
      <c r="B728" s="281"/>
      <c r="C728" s="281"/>
      <c r="D728" s="281"/>
    </row>
    <row r="729" spans="2:4">
      <c r="B729" s="281"/>
      <c r="C729" s="281"/>
      <c r="D729" s="281"/>
    </row>
    <row r="730" spans="2:4">
      <c r="B730" s="281"/>
      <c r="C730" s="281"/>
      <c r="D730" s="281"/>
    </row>
    <row r="731" spans="2:4">
      <c r="B731" s="281"/>
      <c r="C731" s="281"/>
      <c r="D731" s="281"/>
    </row>
    <row r="732" spans="2:4">
      <c r="B732" s="281"/>
      <c r="C732" s="281"/>
      <c r="D732" s="281"/>
    </row>
    <row r="733" spans="2:4">
      <c r="B733" s="281"/>
      <c r="C733" s="281"/>
      <c r="D733" s="281"/>
    </row>
    <row r="734" spans="2:4">
      <c r="B734" s="281"/>
      <c r="C734" s="281"/>
      <c r="D734" s="281"/>
    </row>
    <row r="735" spans="2:4">
      <c r="B735" s="281"/>
      <c r="C735" s="281"/>
      <c r="D735" s="281"/>
    </row>
    <row r="736" spans="2:4">
      <c r="B736" s="281"/>
      <c r="C736" s="281"/>
      <c r="D736" s="281"/>
    </row>
    <row r="737" spans="2:4">
      <c r="B737" s="281"/>
      <c r="C737" s="281"/>
      <c r="D737" s="281"/>
    </row>
    <row r="738" spans="2:4">
      <c r="B738" s="281"/>
      <c r="C738" s="281"/>
      <c r="D738" s="281"/>
    </row>
    <row r="739" spans="2:4">
      <c r="B739" s="281"/>
      <c r="C739" s="281"/>
      <c r="D739" s="281"/>
    </row>
    <row r="740" spans="2:4">
      <c r="B740" s="281"/>
      <c r="C740" s="281"/>
      <c r="D740" s="281"/>
    </row>
    <row r="741" spans="2:4">
      <c r="B741" s="281"/>
      <c r="C741" s="281"/>
      <c r="D741" s="281"/>
    </row>
    <row r="742" spans="2:4">
      <c r="B742" s="281"/>
      <c r="C742" s="281"/>
      <c r="D742" s="281"/>
    </row>
    <row r="743" spans="2:4">
      <c r="B743" s="281"/>
      <c r="C743" s="281"/>
      <c r="D743" s="281"/>
    </row>
    <row r="744" spans="2:4">
      <c r="B744" s="281"/>
      <c r="C744" s="281"/>
      <c r="D744" s="281"/>
    </row>
    <row r="745" spans="2:4">
      <c r="B745" s="281"/>
      <c r="C745" s="281"/>
      <c r="D745" s="281"/>
    </row>
    <row r="746" spans="2:4">
      <c r="B746" s="281"/>
      <c r="C746" s="281"/>
      <c r="D746" s="281"/>
    </row>
    <row r="747" spans="2:4">
      <c r="B747" s="281"/>
      <c r="C747" s="281"/>
      <c r="D747" s="281"/>
    </row>
    <row r="748" spans="2:4">
      <c r="B748" s="281"/>
      <c r="C748" s="281"/>
      <c r="D748" s="281"/>
    </row>
    <row r="749" spans="2:4">
      <c r="B749" s="281"/>
      <c r="C749" s="281"/>
      <c r="D749" s="281"/>
    </row>
    <row r="750" spans="2:4">
      <c r="B750" s="281"/>
      <c r="C750" s="281"/>
      <c r="D750" s="281"/>
    </row>
    <row r="751" spans="2:4">
      <c r="B751" s="281"/>
      <c r="C751" s="281"/>
      <c r="D751" s="281"/>
    </row>
    <row r="752" spans="2:4">
      <c r="B752" s="281"/>
      <c r="C752" s="281"/>
      <c r="D752" s="281"/>
    </row>
    <row r="753" spans="2:4">
      <c r="B753" s="281"/>
      <c r="C753" s="281"/>
      <c r="D753" s="281"/>
    </row>
    <row r="754" spans="2:4">
      <c r="B754" s="281"/>
      <c r="C754" s="281"/>
      <c r="D754" s="281"/>
    </row>
    <row r="755" spans="2:4">
      <c r="B755" s="281"/>
      <c r="C755" s="281"/>
      <c r="D755" s="281"/>
    </row>
    <row r="756" spans="2:4">
      <c r="B756" s="281"/>
      <c r="C756" s="281"/>
      <c r="D756" s="281"/>
    </row>
    <row r="757" spans="2:4">
      <c r="B757" s="281"/>
      <c r="C757" s="281"/>
      <c r="D757" s="281"/>
    </row>
    <row r="758" spans="2:4">
      <c r="B758" s="281"/>
      <c r="C758" s="281"/>
      <c r="D758" s="281"/>
    </row>
    <row r="759" spans="2:4">
      <c r="B759" s="281"/>
      <c r="C759" s="281"/>
      <c r="D759" s="281"/>
    </row>
    <row r="760" spans="2:4">
      <c r="B760" s="281"/>
      <c r="C760" s="281"/>
      <c r="D760" s="281"/>
    </row>
    <row r="761" spans="2:4">
      <c r="B761" s="281"/>
      <c r="C761" s="281"/>
      <c r="D761" s="281"/>
    </row>
    <row r="762" spans="2:4">
      <c r="B762" s="281"/>
      <c r="C762" s="281"/>
      <c r="D762" s="281"/>
    </row>
    <row r="763" spans="2:4">
      <c r="B763" s="281"/>
      <c r="C763" s="281"/>
      <c r="D763" s="281"/>
    </row>
    <row r="764" spans="2:4">
      <c r="B764" s="281"/>
      <c r="C764" s="281"/>
      <c r="D764" s="281"/>
    </row>
    <row r="765" spans="2:4">
      <c r="B765" s="281"/>
      <c r="C765" s="281"/>
      <c r="D765" s="281"/>
    </row>
    <row r="766" spans="2:4">
      <c r="B766" s="281"/>
      <c r="C766" s="281"/>
      <c r="D766" s="281"/>
    </row>
    <row r="767" spans="2:4">
      <c r="B767" s="281"/>
      <c r="C767" s="281"/>
      <c r="D767" s="281"/>
    </row>
    <row r="768" spans="2:4">
      <c r="B768" s="281"/>
      <c r="C768" s="281"/>
      <c r="D768" s="281"/>
    </row>
    <row r="769" spans="2:4">
      <c r="B769" s="281"/>
      <c r="C769" s="281"/>
      <c r="D769" s="281"/>
    </row>
    <row r="770" spans="2:4">
      <c r="B770" s="281"/>
      <c r="C770" s="281"/>
      <c r="D770" s="281"/>
    </row>
    <row r="771" spans="2:4">
      <c r="B771" s="281"/>
      <c r="C771" s="281"/>
      <c r="D771" s="281"/>
    </row>
    <row r="772" spans="2:4">
      <c r="B772" s="281"/>
      <c r="C772" s="281"/>
      <c r="D772" s="281"/>
    </row>
    <row r="773" spans="2:4">
      <c r="B773" s="281"/>
      <c r="C773" s="281"/>
      <c r="D773" s="281"/>
    </row>
    <row r="774" spans="2:4">
      <c r="B774" s="281"/>
      <c r="C774" s="281"/>
      <c r="D774" s="281"/>
    </row>
    <row r="775" spans="2:4">
      <c r="B775" s="281"/>
      <c r="C775" s="281"/>
      <c r="D775" s="281"/>
    </row>
    <row r="776" spans="2:4">
      <c r="B776" s="281"/>
      <c r="C776" s="281"/>
      <c r="D776" s="281"/>
    </row>
    <row r="777" spans="2:4">
      <c r="B777" s="281"/>
      <c r="C777" s="281"/>
      <c r="D777" s="281"/>
    </row>
    <row r="778" spans="2:4">
      <c r="B778" s="281"/>
      <c r="C778" s="281"/>
      <c r="D778" s="281"/>
    </row>
    <row r="779" spans="2:4">
      <c r="B779" s="281"/>
      <c r="C779" s="281"/>
      <c r="D779" s="281"/>
    </row>
    <row r="780" spans="2:4">
      <c r="B780" s="281"/>
      <c r="C780" s="281"/>
      <c r="D780" s="281"/>
    </row>
    <row r="781" spans="2:4">
      <c r="B781" s="281"/>
      <c r="C781" s="281"/>
      <c r="D781" s="281"/>
    </row>
    <row r="782" spans="2:4">
      <c r="B782" s="281"/>
      <c r="C782" s="281"/>
      <c r="D782" s="281"/>
    </row>
    <row r="783" spans="2:4">
      <c r="B783" s="281"/>
      <c r="C783" s="281"/>
      <c r="D783" s="281"/>
    </row>
    <row r="784" spans="2:4">
      <c r="B784" s="281"/>
      <c r="C784" s="281"/>
      <c r="D784" s="281"/>
    </row>
    <row r="785" spans="2:4">
      <c r="B785" s="281"/>
      <c r="C785" s="281"/>
      <c r="D785" s="281"/>
    </row>
    <row r="786" spans="2:4">
      <c r="B786" s="281"/>
      <c r="C786" s="281"/>
      <c r="D786" s="281"/>
    </row>
    <row r="787" spans="2:4">
      <c r="B787" s="281"/>
      <c r="C787" s="281"/>
      <c r="D787" s="281"/>
    </row>
    <row r="788" spans="2:4">
      <c r="B788" s="281"/>
      <c r="C788" s="281"/>
      <c r="D788" s="281"/>
    </row>
    <row r="789" spans="2:4">
      <c r="B789" s="281"/>
      <c r="C789" s="281"/>
      <c r="D789" s="281"/>
    </row>
    <row r="790" spans="2:4">
      <c r="B790" s="281"/>
      <c r="C790" s="281"/>
      <c r="D790" s="281"/>
    </row>
    <row r="791" spans="2:4">
      <c r="B791" s="281"/>
      <c r="C791" s="281"/>
      <c r="D791" s="281"/>
    </row>
    <row r="792" spans="2:4">
      <c r="B792" s="281"/>
      <c r="C792" s="281"/>
      <c r="D792" s="281"/>
    </row>
    <row r="793" spans="2:4">
      <c r="B793" s="281"/>
      <c r="C793" s="281"/>
      <c r="D793" s="281"/>
    </row>
    <row r="794" spans="2:4">
      <c r="B794" s="281"/>
      <c r="C794" s="281"/>
      <c r="D794" s="281"/>
    </row>
    <row r="795" spans="2:4">
      <c r="B795" s="281"/>
      <c r="C795" s="281"/>
      <c r="D795" s="281"/>
    </row>
    <row r="796" spans="2:4">
      <c r="B796" s="281"/>
      <c r="C796" s="281"/>
      <c r="D796" s="281"/>
    </row>
    <row r="797" spans="2:4">
      <c r="B797" s="281"/>
      <c r="C797" s="281"/>
      <c r="D797" s="281"/>
    </row>
    <row r="798" spans="2:4">
      <c r="B798" s="281"/>
      <c r="C798" s="281"/>
      <c r="D798" s="281"/>
    </row>
    <row r="799" spans="2:4">
      <c r="B799" s="281"/>
      <c r="C799" s="281"/>
      <c r="D799" s="281"/>
    </row>
    <row r="800" spans="2:4">
      <c r="B800" s="281"/>
      <c r="C800" s="281"/>
      <c r="D800" s="281"/>
    </row>
    <row r="801" spans="2:4">
      <c r="B801" s="281"/>
      <c r="C801" s="281"/>
      <c r="D801" s="281"/>
    </row>
    <row r="802" spans="2:4">
      <c r="B802" s="281"/>
      <c r="C802" s="281"/>
      <c r="D802" s="281"/>
    </row>
    <row r="803" spans="2:4">
      <c r="B803" s="281"/>
      <c r="C803" s="281"/>
      <c r="D803" s="281"/>
    </row>
  </sheetData>
  <mergeCells count="8">
    <mergeCell ref="D55:E55"/>
    <mergeCell ref="C21:G21"/>
    <mergeCell ref="B22:H22"/>
    <mergeCell ref="C27:G27"/>
    <mergeCell ref="B50:H50"/>
    <mergeCell ref="B51:H51"/>
    <mergeCell ref="B52:H52"/>
    <mergeCell ref="B53:H53"/>
  </mergeCells>
  <phoneticPr fontId="30" type="noConversion"/>
  <printOptions horizontalCentered="1"/>
  <pageMargins left="1.1811023622047245" right="0.39370078740157483" top="0.59055118110236227" bottom="0.59055118110236227" header="0.31496062992125984" footer="0.31496062992125984"/>
  <pageSetup paperSize="9" scale="90" orientation="portrait" r:id="rId1"/>
  <headerFooter alignWithMargins="0">
    <oddHeader>&amp;LDGRH A1-1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53</vt:i4>
      </vt:variant>
      <vt:variant>
        <vt:lpstr>Plages nommées</vt:lpstr>
      </vt:variant>
      <vt:variant>
        <vt:i4>53</vt:i4>
      </vt:variant>
    </vt:vector>
  </HeadingPairs>
  <TitlesOfParts>
    <vt:vector size="106" baseType="lpstr">
      <vt:lpstr>PG_0</vt:lpstr>
      <vt:lpstr>TAB S-1 sync et fil</vt:lpstr>
      <vt:lpstr>TAB S-2 sync</vt:lpstr>
      <vt:lpstr>TAB S-3 fil eau</vt:lpstr>
      <vt:lpstr>TAB S-4 étabs</vt:lpstr>
      <vt:lpstr>TAB S-5 cand pr mcf</vt:lpstr>
      <vt:lpstr>tab S-5a cand nommés</vt:lpstr>
      <vt:lpstr>tab S-5b cand nommés sect</vt:lpstr>
      <vt:lpstr>PG_D&amp;M</vt:lpstr>
      <vt:lpstr>TAB I det mut</vt:lpstr>
      <vt:lpstr>TAB I-a mcf 26-I-1</vt:lpstr>
      <vt:lpstr>TAB I-b pr 46-1</vt:lpstr>
      <vt:lpstr>TAB I-c pr 51</vt:lpstr>
      <vt:lpstr>TAB I-d pr geo</vt:lpstr>
      <vt:lpstr>TAB I-e mcf geo</vt:lpstr>
      <vt:lpstr>TAB I-f pr+mcf geo</vt:lpstr>
      <vt:lpstr>TAB I-g solde mut</vt:lpstr>
      <vt:lpstr>PG_REC</vt:lpstr>
      <vt:lpstr>TAB II taux couv global</vt:lpstr>
      <vt:lpstr>TAB II-a taux couv sections</vt:lpstr>
      <vt:lpstr>TAB II-b taux couv qualif</vt:lpstr>
      <vt:lpstr>TAB II-c ratios qualif post</vt:lpstr>
      <vt:lpstr>PG_REC_PR</vt:lpstr>
      <vt:lpstr>TAB III-a pr 46-1</vt:lpstr>
      <vt:lpstr>TAB III-b pr 46-3</vt:lpstr>
      <vt:lpstr>TAB III-c pr 46-4</vt:lpstr>
      <vt:lpstr>TAB III-d pr mcf geo</vt:lpstr>
      <vt:lpstr>TAB III-e pr agreg ext</vt:lpstr>
      <vt:lpstr>TAB III-f pr bilan qualif</vt:lpstr>
      <vt:lpstr>TAB III-g pr qualif sexe</vt:lpstr>
      <vt:lpstr>TAB III-h pr qualif nommé</vt:lpstr>
      <vt:lpstr>TAB III-i pr réussite qualif</vt:lpstr>
      <vt:lpstr>PG_REC_MCF</vt:lpstr>
      <vt:lpstr>TAB IV-a mcf 26-I-1</vt:lpstr>
      <vt:lpstr>TAB IV-b mcf 26-I-2 et 26-I-3</vt:lpstr>
      <vt:lpstr>TAB IV-c mcf bilan qualif</vt:lpstr>
      <vt:lpstr>TAB IV-d mcf qualif sexe</vt:lpstr>
      <vt:lpstr>TAB IV-e mcf qualif nommé</vt:lpstr>
      <vt:lpstr>TAB IV-f mcf réussite qualif</vt:lpstr>
      <vt:lpstr>TAB IV-g mcf attractivité</vt:lpstr>
      <vt:lpstr>PG_REC_NON_POURVUS</vt:lpstr>
      <vt:lpstr>TAB V bilan non pourvus</vt:lpstr>
      <vt:lpstr>TAB V-a mcf 26-I-1</vt:lpstr>
      <vt:lpstr>TAB V-b pr 46-1</vt:lpstr>
      <vt:lpstr>TAB V-c pr 46-4 et 51</vt:lpstr>
      <vt:lpstr>PG_TABLES</vt:lpstr>
      <vt:lpstr>tabgrp</vt:lpstr>
      <vt:lpstr>fiche technique</vt:lpstr>
      <vt:lpstr>attractivte mcf</vt:lpstr>
      <vt:lpstr>attractivite pr</vt:lpstr>
      <vt:lpstr>attractivite pr etabt</vt:lpstr>
      <vt:lpstr>attractivite mcf etabt</vt:lpstr>
      <vt:lpstr>Feuil1</vt:lpstr>
      <vt:lpstr>'attractivite pr etabt'!Impression_des_titres</vt:lpstr>
      <vt:lpstr>'TAB S-4 étabs'!Impression_des_titres</vt:lpstr>
      <vt:lpstr>'attractivite mcf etabt'!Zone_d_impression</vt:lpstr>
      <vt:lpstr>'attractivite pr'!Zone_d_impression</vt:lpstr>
      <vt:lpstr>'attractivite pr etabt'!Zone_d_impression</vt:lpstr>
      <vt:lpstr>'attractivte mcf'!Zone_d_impression</vt:lpstr>
      <vt:lpstr>PG_0!Zone_d_impression</vt:lpstr>
      <vt:lpstr>'PG_D&amp;M'!Zone_d_impression</vt:lpstr>
      <vt:lpstr>PG_REC!Zone_d_impression</vt:lpstr>
      <vt:lpstr>PG_REC_MCF!Zone_d_impression</vt:lpstr>
      <vt:lpstr>PG_REC_NON_POURVUS!Zone_d_impression</vt:lpstr>
      <vt:lpstr>PG_REC_PR!Zone_d_impression</vt:lpstr>
      <vt:lpstr>PG_TABLES!Zone_d_impression</vt:lpstr>
      <vt:lpstr>'TAB I det mut'!Zone_d_impression</vt:lpstr>
      <vt:lpstr>'TAB I-a mcf 26-I-1'!Zone_d_impression</vt:lpstr>
      <vt:lpstr>'TAB I-b pr 46-1'!Zone_d_impression</vt:lpstr>
      <vt:lpstr>'TAB I-c pr 51'!Zone_d_impression</vt:lpstr>
      <vt:lpstr>'TAB I-d pr geo'!Zone_d_impression</vt:lpstr>
      <vt:lpstr>'TAB I-e mcf geo'!Zone_d_impression</vt:lpstr>
      <vt:lpstr>'TAB I-f pr+mcf geo'!Zone_d_impression</vt:lpstr>
      <vt:lpstr>'TAB I-g solde mut'!Zone_d_impression</vt:lpstr>
      <vt:lpstr>'TAB II taux couv global'!Zone_d_impression</vt:lpstr>
      <vt:lpstr>'TAB II-a taux couv sections'!Zone_d_impression</vt:lpstr>
      <vt:lpstr>'TAB II-b taux couv qualif'!Zone_d_impression</vt:lpstr>
      <vt:lpstr>'TAB II-c ratios qualif post'!Zone_d_impression</vt:lpstr>
      <vt:lpstr>'TAB III-a pr 46-1'!Zone_d_impression</vt:lpstr>
      <vt:lpstr>'TAB III-b pr 46-3'!Zone_d_impression</vt:lpstr>
      <vt:lpstr>'TAB III-c pr 46-4'!Zone_d_impression</vt:lpstr>
      <vt:lpstr>'TAB III-d pr mcf geo'!Zone_d_impression</vt:lpstr>
      <vt:lpstr>'TAB III-e pr agreg ext'!Zone_d_impression</vt:lpstr>
      <vt:lpstr>'TAB III-f pr bilan qualif'!Zone_d_impression</vt:lpstr>
      <vt:lpstr>'TAB III-g pr qualif sexe'!Zone_d_impression</vt:lpstr>
      <vt:lpstr>'TAB III-h pr qualif nommé'!Zone_d_impression</vt:lpstr>
      <vt:lpstr>'TAB III-i pr réussite qualif'!Zone_d_impression</vt:lpstr>
      <vt:lpstr>'TAB IV-a mcf 26-I-1'!Zone_d_impression</vt:lpstr>
      <vt:lpstr>'TAB IV-b mcf 26-I-2 et 26-I-3'!Zone_d_impression</vt:lpstr>
      <vt:lpstr>'TAB IV-c mcf bilan qualif'!Zone_d_impression</vt:lpstr>
      <vt:lpstr>'TAB IV-d mcf qualif sexe'!Zone_d_impression</vt:lpstr>
      <vt:lpstr>'TAB IV-e mcf qualif nommé'!Zone_d_impression</vt:lpstr>
      <vt:lpstr>'TAB IV-f mcf réussite qualif'!Zone_d_impression</vt:lpstr>
      <vt:lpstr>'TAB IV-g mcf attractivité'!Zone_d_impression</vt:lpstr>
      <vt:lpstr>'TAB S-1 sync et fil'!Zone_d_impression</vt:lpstr>
      <vt:lpstr>'TAB S-2 sync'!Zone_d_impression</vt:lpstr>
      <vt:lpstr>'TAB S-3 fil eau'!Zone_d_impression</vt:lpstr>
      <vt:lpstr>'TAB S-4 étabs'!Zone_d_impression</vt:lpstr>
      <vt:lpstr>'TAB S-5 cand pr mcf'!Zone_d_impression</vt:lpstr>
      <vt:lpstr>'tab S-5a cand nommés'!Zone_d_impression</vt:lpstr>
      <vt:lpstr>'tab S-5b cand nommés sect'!Zone_d_impression</vt:lpstr>
      <vt:lpstr>'TAB V bilan non pourvus'!Zone_d_impression</vt:lpstr>
      <vt:lpstr>'TAB V-a mcf 26-I-1'!Zone_d_impression</vt:lpstr>
      <vt:lpstr>'TAB V-b pr 46-1'!Zone_d_impression</vt:lpstr>
      <vt:lpstr>'TAB V-c pr 46-4 et 51'!Zone_d_impression</vt:lpstr>
      <vt:lpstr>tabgrp!Zone_d_impression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EXCEL5.05</dc:creator>
  <cp:lastModifiedBy>Ordinateur Personnel</cp:lastModifiedBy>
  <cp:lastPrinted>2015-03-12T13:19:12Z</cp:lastPrinted>
  <dcterms:created xsi:type="dcterms:W3CDTF">1997-08-04T11:10:43Z</dcterms:created>
  <dcterms:modified xsi:type="dcterms:W3CDTF">2015-03-17T10:13:40Z</dcterms:modified>
</cp:coreProperties>
</file>